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\Desktop\DELHI COMPLIANCE\excel\"/>
    </mc:Choice>
  </mc:AlternateContent>
  <xr:revisionPtr revIDLastSave="0" documentId="10_ncr:8100000_{4DE88E65-7082-4892-BCC8-AB4B582BEE39}" xr6:coauthVersionLast="34" xr6:coauthVersionMax="34" xr10:uidLastSave="{00000000-0000-0000-0000-000000000000}"/>
  <bookViews>
    <workbookView xWindow="0" yWindow="0" windowWidth="19440" windowHeight="7965" tabRatio="872" firstSheet="5" activeTab="6" xr2:uid="{00000000-000D-0000-FFFF-FFFF00000000}"/>
  </bookViews>
  <sheets>
    <sheet name="Payroll (2)" sheetId="8" state="hidden" r:id="rId1"/>
    <sheet name="All payroll" sheetId="17" state="hidden" r:id="rId2"/>
    <sheet name="Payroll (3)" sheetId="30" state="hidden" r:id="rId3"/>
    <sheet name="BHIWANDI (2)" sheetId="50" state="hidden" r:id="rId4"/>
    <sheet name=" delhi old" sheetId="42" state="hidden" r:id="rId5"/>
    <sheet name="DELHI  (2)" sheetId="53" r:id="rId6"/>
    <sheet name="attendance " sheetId="54" r:id="rId7"/>
    <sheet name="DELHI " sheetId="47" state="hidden" r:id="rId8"/>
  </sheets>
  <definedNames>
    <definedName name="_xlnm._FilterDatabase" localSheetId="4" hidden="1">' delhi old'!$A$1:$AF$303</definedName>
    <definedName name="_xlnm._FilterDatabase" localSheetId="1" hidden="1">'All payroll'!$A$1:$AC$446</definedName>
    <definedName name="_xlnm._FilterDatabase" localSheetId="6" hidden="1">'attendance '!$A$4:$AN$4</definedName>
    <definedName name="_xlnm._FilterDatabase" localSheetId="3" hidden="1">'BHIWANDI (2)'!$A$5:$AG$152</definedName>
    <definedName name="_xlnm._FilterDatabase" localSheetId="7" hidden="1">'DELHI '!$A$5:$AI$258</definedName>
    <definedName name="_xlnm._FilterDatabase" localSheetId="5" hidden="1">'DELHI  (2)'!$A$5:$AA$91</definedName>
    <definedName name="_xlnm._FilterDatabase" localSheetId="0" hidden="1">'Payroll (2)'!$A$5:$X$263</definedName>
    <definedName name="_xlnm._FilterDatabase" localSheetId="2" hidden="1">'Payroll (3)'!$A$1:$AD$538</definedName>
    <definedName name="_xlnm.Print_Titles" localSheetId="4">' delhi old'!$4:$5</definedName>
    <definedName name="_xlnm.Print_Titles" localSheetId="1">'All payroll'!$4:$5</definedName>
    <definedName name="_xlnm.Print_Titles" localSheetId="0">'Payroll (2)'!$4:$5</definedName>
    <definedName name="_xlnm.Print_Titles" localSheetId="2">'Payroll (3)'!$4:$5</definedName>
  </definedNames>
  <calcPr calcId="162913"/>
  <fileRecoveryPr autoRecover="0"/>
</workbook>
</file>

<file path=xl/calcChain.xml><?xml version="1.0" encoding="utf-8"?>
<calcChain xmlns="http://schemas.openxmlformats.org/spreadsheetml/2006/main">
  <c r="I7" i="53" l="1"/>
  <c r="I8" i="53"/>
  <c r="I9" i="53"/>
  <c r="I10" i="53"/>
  <c r="I11" i="53"/>
  <c r="I12" i="53"/>
  <c r="I13" i="53"/>
  <c r="I14" i="53"/>
  <c r="I15" i="53"/>
  <c r="I16" i="53"/>
  <c r="I19" i="53"/>
  <c r="I20" i="53"/>
  <c r="I21" i="53"/>
  <c r="I22" i="53"/>
  <c r="I23" i="53"/>
  <c r="I24" i="53"/>
  <c r="I25" i="53"/>
  <c r="I26" i="53"/>
  <c r="I27" i="53"/>
  <c r="I28" i="53"/>
  <c r="I29" i="53"/>
  <c r="I31" i="53"/>
  <c r="I32" i="53"/>
  <c r="I34" i="53"/>
  <c r="I35" i="53"/>
  <c r="I36" i="53"/>
  <c r="I37" i="53"/>
  <c r="I38" i="53"/>
  <c r="I41" i="53"/>
  <c r="I42" i="53"/>
  <c r="I43" i="53"/>
  <c r="I47" i="53"/>
  <c r="I48" i="53"/>
  <c r="I50" i="53"/>
  <c r="I51" i="53"/>
  <c r="I53" i="53"/>
  <c r="I60" i="53"/>
  <c r="I61" i="53"/>
  <c r="I62" i="53"/>
  <c r="I63" i="53"/>
  <c r="I64" i="53"/>
  <c r="I77" i="53"/>
  <c r="I78" i="53"/>
  <c r="I6" i="53"/>
  <c r="I91" i="53" l="1"/>
  <c r="I258" i="47"/>
  <c r="Q258" i="47"/>
  <c r="R258" i="47"/>
  <c r="S258" i="47"/>
  <c r="W258" i="47"/>
  <c r="X258" i="47"/>
  <c r="AA258" i="47"/>
  <c r="O262" i="47" l="1"/>
  <c r="M262" i="47"/>
  <c r="I262" i="47"/>
  <c r="Q262" i="47" l="1"/>
  <c r="R262" i="47"/>
  <c r="S262" i="47"/>
  <c r="W262" i="47"/>
  <c r="X262" i="47"/>
  <c r="AA262" i="47"/>
  <c r="AE257" i="47"/>
  <c r="P257" i="47"/>
  <c r="N257" i="47"/>
  <c r="K257" i="47"/>
  <c r="J257" i="47"/>
  <c r="AE256" i="47"/>
  <c r="P256" i="47"/>
  <c r="N256" i="47"/>
  <c r="K256" i="47"/>
  <c r="J256" i="47"/>
  <c r="AE255" i="47"/>
  <c r="P255" i="47"/>
  <c r="N255" i="47"/>
  <c r="K255" i="47"/>
  <c r="J255" i="47"/>
  <c r="AE254" i="47"/>
  <c r="P254" i="47"/>
  <c r="N254" i="47"/>
  <c r="K254" i="47"/>
  <c r="J254" i="47"/>
  <c r="AE253" i="47"/>
  <c r="P253" i="47"/>
  <c r="N253" i="47"/>
  <c r="K253" i="47"/>
  <c r="J253" i="47"/>
  <c r="AE252" i="47"/>
  <c r="P252" i="47"/>
  <c r="N252" i="47"/>
  <c r="K252" i="47"/>
  <c r="J252" i="47"/>
  <c r="AE251" i="47"/>
  <c r="P251" i="47"/>
  <c r="N251" i="47"/>
  <c r="K251" i="47"/>
  <c r="J251" i="47"/>
  <c r="AE250" i="47"/>
  <c r="P250" i="47"/>
  <c r="N250" i="47"/>
  <c r="K250" i="47"/>
  <c r="J250" i="47"/>
  <c r="AC250" i="47" l="1"/>
  <c r="AC254" i="47"/>
  <c r="U250" i="47"/>
  <c r="L251" i="47"/>
  <c r="T251" i="47" s="1"/>
  <c r="AD251" i="47" s="1"/>
  <c r="U255" i="47"/>
  <c r="AC253" i="47"/>
  <c r="U251" i="47"/>
  <c r="L255" i="47"/>
  <c r="T255" i="47" s="1"/>
  <c r="U254" i="47"/>
  <c r="AC256" i="47"/>
  <c r="AC252" i="47"/>
  <c r="AC257" i="47"/>
  <c r="AC251" i="47"/>
  <c r="L252" i="47"/>
  <c r="T252" i="47" s="1"/>
  <c r="U252" i="47"/>
  <c r="AC255" i="47"/>
  <c r="L256" i="47"/>
  <c r="T256" i="47" s="1"/>
  <c r="U256" i="47"/>
  <c r="L253" i="47"/>
  <c r="T253" i="47" s="1"/>
  <c r="U253" i="47"/>
  <c r="L257" i="47"/>
  <c r="T257" i="47" s="1"/>
  <c r="U257" i="47"/>
  <c r="L250" i="47"/>
  <c r="T250" i="47" s="1"/>
  <c r="L254" i="47"/>
  <c r="T254" i="47" s="1"/>
  <c r="V255" i="47" l="1"/>
  <c r="Y255" i="47" s="1"/>
  <c r="Z255" i="47" s="1"/>
  <c r="AB255" i="47" s="1"/>
  <c r="AD255" i="47"/>
  <c r="AF255" i="47" s="1"/>
  <c r="AG255" i="47" s="1"/>
  <c r="AF251" i="47"/>
  <c r="AG251" i="47" s="1"/>
  <c r="V251" i="47"/>
  <c r="Y251" i="47" s="1"/>
  <c r="Z251" i="47" s="1"/>
  <c r="AB251" i="47" s="1"/>
  <c r="V250" i="47"/>
  <c r="Y250" i="47" s="1"/>
  <c r="Z250" i="47" s="1"/>
  <c r="AB250" i="47" s="1"/>
  <c r="AD250" i="47"/>
  <c r="AF250" i="47" s="1"/>
  <c r="AG250" i="47" s="1"/>
  <c r="AD254" i="47"/>
  <c r="AF254" i="47" s="1"/>
  <c r="AG254" i="47" s="1"/>
  <c r="V254" i="47"/>
  <c r="Y254" i="47" s="1"/>
  <c r="Z254" i="47" s="1"/>
  <c r="AB254" i="47" s="1"/>
  <c r="V253" i="47"/>
  <c r="Y253" i="47" s="1"/>
  <c r="Z253" i="47" s="1"/>
  <c r="AB253" i="47" s="1"/>
  <c r="AD253" i="47"/>
  <c r="AF253" i="47" s="1"/>
  <c r="AG253" i="47" s="1"/>
  <c r="AD256" i="47"/>
  <c r="AF256" i="47" s="1"/>
  <c r="AG256" i="47" s="1"/>
  <c r="V256" i="47"/>
  <c r="Y256" i="47" s="1"/>
  <c r="Z256" i="47" s="1"/>
  <c r="AB256" i="47" s="1"/>
  <c r="V257" i="47"/>
  <c r="Y257" i="47" s="1"/>
  <c r="Z257" i="47" s="1"/>
  <c r="AB257" i="47" s="1"/>
  <c r="AD257" i="47"/>
  <c r="AF257" i="47" s="1"/>
  <c r="AG257" i="47" s="1"/>
  <c r="AD252" i="47"/>
  <c r="AF252" i="47" s="1"/>
  <c r="AG252" i="47" s="1"/>
  <c r="V252" i="47"/>
  <c r="Y252" i="47" s="1"/>
  <c r="Z252" i="47" s="1"/>
  <c r="AB252" i="47" s="1"/>
  <c r="G51" i="50" l="1"/>
  <c r="G152" i="50" s="1"/>
  <c r="G157" i="50" s="1"/>
  <c r="N131" i="50"/>
  <c r="C1048038" i="50"/>
  <c r="Y155" i="50"/>
  <c r="Y152" i="50"/>
  <c r="V152" i="50"/>
  <c r="V157" i="50" s="1"/>
  <c r="Q152" i="50"/>
  <c r="Q157" i="50" s="1"/>
  <c r="P152" i="50"/>
  <c r="P157" i="50" s="1"/>
  <c r="O152" i="50"/>
  <c r="O157" i="50" s="1"/>
  <c r="M152" i="50"/>
  <c r="M157" i="50" s="1"/>
  <c r="K152" i="50"/>
  <c r="K157" i="50" s="1"/>
  <c r="AC151" i="50"/>
  <c r="N151" i="50"/>
  <c r="L151" i="50"/>
  <c r="I151" i="50"/>
  <c r="H151" i="50"/>
  <c r="AC150" i="50"/>
  <c r="N150" i="50"/>
  <c r="L150" i="50"/>
  <c r="I150" i="50"/>
  <c r="H150" i="50"/>
  <c r="AC149" i="50"/>
  <c r="N149" i="50"/>
  <c r="L149" i="50"/>
  <c r="I149" i="50"/>
  <c r="H149" i="50"/>
  <c r="AC148" i="50"/>
  <c r="N148" i="50"/>
  <c r="L148" i="50"/>
  <c r="I148" i="50"/>
  <c r="H148" i="50"/>
  <c r="AC147" i="50"/>
  <c r="N147" i="50"/>
  <c r="L147" i="50"/>
  <c r="I147" i="50"/>
  <c r="H147" i="50"/>
  <c r="AC146" i="50"/>
  <c r="N146" i="50"/>
  <c r="L146" i="50"/>
  <c r="I146" i="50"/>
  <c r="H146" i="50"/>
  <c r="AC145" i="50"/>
  <c r="N145" i="50"/>
  <c r="L145" i="50"/>
  <c r="I145" i="50"/>
  <c r="H145" i="50"/>
  <c r="AC144" i="50"/>
  <c r="N144" i="50"/>
  <c r="L144" i="50"/>
  <c r="I144" i="50"/>
  <c r="H144" i="50"/>
  <c r="AF143" i="50"/>
  <c r="AC143" i="50"/>
  <c r="N143" i="50"/>
  <c r="L143" i="50"/>
  <c r="I143" i="50"/>
  <c r="H143" i="50"/>
  <c r="AC142" i="50"/>
  <c r="N142" i="50"/>
  <c r="L142" i="50"/>
  <c r="I142" i="50"/>
  <c r="H142" i="50"/>
  <c r="AC141" i="50"/>
  <c r="N141" i="50"/>
  <c r="L141" i="50"/>
  <c r="I141" i="50"/>
  <c r="H141" i="50"/>
  <c r="AC140" i="50"/>
  <c r="N140" i="50"/>
  <c r="L140" i="50"/>
  <c r="I140" i="50"/>
  <c r="H140" i="50"/>
  <c r="AC139" i="50"/>
  <c r="N139" i="50"/>
  <c r="L139" i="50"/>
  <c r="I139" i="50"/>
  <c r="H139" i="50"/>
  <c r="AC138" i="50"/>
  <c r="N138" i="50"/>
  <c r="L138" i="50"/>
  <c r="I138" i="50"/>
  <c r="H138" i="50"/>
  <c r="AC137" i="50"/>
  <c r="N137" i="50"/>
  <c r="L137" i="50"/>
  <c r="I137" i="50"/>
  <c r="H137" i="50"/>
  <c r="AC136" i="50"/>
  <c r="N136" i="50"/>
  <c r="L136" i="50"/>
  <c r="I136" i="50"/>
  <c r="H136" i="50"/>
  <c r="AC135" i="50"/>
  <c r="N135" i="50"/>
  <c r="L135" i="50"/>
  <c r="I135" i="50"/>
  <c r="H135" i="50"/>
  <c r="AC134" i="50"/>
  <c r="N134" i="50"/>
  <c r="L134" i="50"/>
  <c r="I134" i="50"/>
  <c r="H134" i="50"/>
  <c r="AC133" i="50"/>
  <c r="N133" i="50"/>
  <c r="L133" i="50"/>
  <c r="I133" i="50"/>
  <c r="H133" i="50"/>
  <c r="AC132" i="50"/>
  <c r="N132" i="50"/>
  <c r="L132" i="50"/>
  <c r="I132" i="50"/>
  <c r="H132" i="50"/>
  <c r="AC131" i="50"/>
  <c r="L131" i="50"/>
  <c r="I131" i="50"/>
  <c r="H131" i="50"/>
  <c r="AC130" i="50"/>
  <c r="N130" i="50"/>
  <c r="L130" i="50"/>
  <c r="I130" i="50"/>
  <c r="H130" i="50"/>
  <c r="AC129" i="50"/>
  <c r="N129" i="50"/>
  <c r="L129" i="50"/>
  <c r="I129" i="50"/>
  <c r="H129" i="50"/>
  <c r="AC128" i="50"/>
  <c r="N128" i="50"/>
  <c r="L128" i="50"/>
  <c r="I128" i="50"/>
  <c r="H128" i="50"/>
  <c r="AC127" i="50"/>
  <c r="N127" i="50"/>
  <c r="L127" i="50"/>
  <c r="I127" i="50"/>
  <c r="H127" i="50"/>
  <c r="AC126" i="50"/>
  <c r="N126" i="50"/>
  <c r="L126" i="50"/>
  <c r="I126" i="50"/>
  <c r="H126" i="50"/>
  <c r="AC125" i="50"/>
  <c r="N125" i="50"/>
  <c r="L125" i="50"/>
  <c r="I125" i="50"/>
  <c r="H125" i="50"/>
  <c r="AC124" i="50"/>
  <c r="N124" i="50"/>
  <c r="L124" i="50"/>
  <c r="I124" i="50"/>
  <c r="H124" i="50"/>
  <c r="AC123" i="50"/>
  <c r="N123" i="50"/>
  <c r="L123" i="50"/>
  <c r="I123" i="50"/>
  <c r="H123" i="50"/>
  <c r="AC122" i="50"/>
  <c r="N122" i="50"/>
  <c r="L122" i="50"/>
  <c r="I122" i="50"/>
  <c r="H122" i="50"/>
  <c r="AC121" i="50"/>
  <c r="N121" i="50"/>
  <c r="L121" i="50"/>
  <c r="I121" i="50"/>
  <c r="H121" i="50"/>
  <c r="AC120" i="50"/>
  <c r="N120" i="50"/>
  <c r="L120" i="50"/>
  <c r="I120" i="50"/>
  <c r="H120" i="50"/>
  <c r="AC119" i="50"/>
  <c r="N119" i="50"/>
  <c r="L119" i="50"/>
  <c r="I119" i="50"/>
  <c r="H119" i="50"/>
  <c r="AC118" i="50"/>
  <c r="N118" i="50"/>
  <c r="L118" i="50"/>
  <c r="I118" i="50"/>
  <c r="H118" i="50"/>
  <c r="AC117" i="50"/>
  <c r="N117" i="50"/>
  <c r="L117" i="50"/>
  <c r="I117" i="50"/>
  <c r="H117" i="50"/>
  <c r="AC116" i="50"/>
  <c r="N116" i="50"/>
  <c r="L116" i="50"/>
  <c r="I116" i="50"/>
  <c r="H116" i="50"/>
  <c r="AC115" i="50"/>
  <c r="N115" i="50"/>
  <c r="L115" i="50"/>
  <c r="I115" i="50"/>
  <c r="H115" i="50"/>
  <c r="AC114" i="50"/>
  <c r="N114" i="50"/>
  <c r="L114" i="50"/>
  <c r="I114" i="50"/>
  <c r="H114" i="50"/>
  <c r="AC113" i="50"/>
  <c r="N113" i="50"/>
  <c r="L113" i="50"/>
  <c r="I113" i="50"/>
  <c r="H113" i="50"/>
  <c r="AC112" i="50"/>
  <c r="N112" i="50"/>
  <c r="L112" i="50"/>
  <c r="I112" i="50"/>
  <c r="H112" i="50"/>
  <c r="AC111" i="50"/>
  <c r="N111" i="50"/>
  <c r="L111" i="50"/>
  <c r="I111" i="50"/>
  <c r="H111" i="50"/>
  <c r="AC110" i="50"/>
  <c r="N110" i="50"/>
  <c r="L110" i="50"/>
  <c r="I110" i="50"/>
  <c r="H110" i="50"/>
  <c r="AC109" i="50"/>
  <c r="N109" i="50"/>
  <c r="L109" i="50"/>
  <c r="I109" i="50"/>
  <c r="H109" i="50"/>
  <c r="AC108" i="50"/>
  <c r="N108" i="50"/>
  <c r="L108" i="50"/>
  <c r="I108" i="50"/>
  <c r="H108" i="50"/>
  <c r="AC107" i="50"/>
  <c r="N107" i="50"/>
  <c r="L107" i="50"/>
  <c r="I107" i="50"/>
  <c r="H107" i="50"/>
  <c r="AC106" i="50"/>
  <c r="N106" i="50"/>
  <c r="L106" i="50"/>
  <c r="I106" i="50"/>
  <c r="H106" i="50"/>
  <c r="AC105" i="50"/>
  <c r="N105" i="50"/>
  <c r="L105" i="50"/>
  <c r="I105" i="50"/>
  <c r="H105" i="50"/>
  <c r="AC104" i="50"/>
  <c r="N104" i="50"/>
  <c r="L104" i="50"/>
  <c r="I104" i="50"/>
  <c r="H104" i="50"/>
  <c r="AC103" i="50"/>
  <c r="N103" i="50"/>
  <c r="L103" i="50"/>
  <c r="I103" i="50"/>
  <c r="H103" i="50"/>
  <c r="AC102" i="50"/>
  <c r="N102" i="50"/>
  <c r="L102" i="50"/>
  <c r="I102" i="50"/>
  <c r="H102" i="50"/>
  <c r="AC101" i="50"/>
  <c r="N101" i="50"/>
  <c r="L101" i="50"/>
  <c r="I101" i="50"/>
  <c r="H101" i="50"/>
  <c r="AC100" i="50"/>
  <c r="N100" i="50"/>
  <c r="L100" i="50"/>
  <c r="I100" i="50"/>
  <c r="H100" i="50"/>
  <c r="AC99" i="50"/>
  <c r="N99" i="50"/>
  <c r="L99" i="50"/>
  <c r="I99" i="50"/>
  <c r="H99" i="50"/>
  <c r="AC98" i="50"/>
  <c r="N98" i="50"/>
  <c r="L98" i="50"/>
  <c r="I98" i="50"/>
  <c r="H98" i="50"/>
  <c r="AC97" i="50"/>
  <c r="N97" i="50"/>
  <c r="L97" i="50"/>
  <c r="I97" i="50"/>
  <c r="H97" i="50"/>
  <c r="AC96" i="50"/>
  <c r="N96" i="50"/>
  <c r="L96" i="50"/>
  <c r="I96" i="50"/>
  <c r="H96" i="50"/>
  <c r="AC95" i="50"/>
  <c r="N95" i="50"/>
  <c r="L95" i="50"/>
  <c r="I95" i="50"/>
  <c r="H95" i="50"/>
  <c r="AC94" i="50"/>
  <c r="N94" i="50"/>
  <c r="L94" i="50"/>
  <c r="I94" i="50"/>
  <c r="H94" i="50"/>
  <c r="AC93" i="50"/>
  <c r="N93" i="50"/>
  <c r="L93" i="50"/>
  <c r="I93" i="50"/>
  <c r="H93" i="50"/>
  <c r="AC92" i="50"/>
  <c r="N92" i="50"/>
  <c r="L92" i="50"/>
  <c r="I92" i="50"/>
  <c r="H92" i="50"/>
  <c r="AC91" i="50"/>
  <c r="N91" i="50"/>
  <c r="L91" i="50"/>
  <c r="I91" i="50"/>
  <c r="H91" i="50"/>
  <c r="AC90" i="50"/>
  <c r="N90" i="50"/>
  <c r="L90" i="50"/>
  <c r="I90" i="50"/>
  <c r="H90" i="50"/>
  <c r="AC89" i="50"/>
  <c r="N89" i="50"/>
  <c r="L89" i="50"/>
  <c r="I89" i="50"/>
  <c r="H89" i="50"/>
  <c r="AC88" i="50"/>
  <c r="N88" i="50"/>
  <c r="L88" i="50"/>
  <c r="I88" i="50"/>
  <c r="H88" i="50"/>
  <c r="AC87" i="50"/>
  <c r="N87" i="50"/>
  <c r="L87" i="50"/>
  <c r="I87" i="50"/>
  <c r="H87" i="50"/>
  <c r="AC86" i="50"/>
  <c r="N86" i="50"/>
  <c r="L86" i="50"/>
  <c r="I86" i="50"/>
  <c r="H86" i="50"/>
  <c r="AC85" i="50"/>
  <c r="N85" i="50"/>
  <c r="L85" i="50"/>
  <c r="I85" i="50"/>
  <c r="H85" i="50"/>
  <c r="AC84" i="50"/>
  <c r="N84" i="50"/>
  <c r="L84" i="50"/>
  <c r="I84" i="50"/>
  <c r="H84" i="50"/>
  <c r="AC83" i="50"/>
  <c r="N83" i="50"/>
  <c r="L83" i="50"/>
  <c r="I83" i="50"/>
  <c r="H83" i="50"/>
  <c r="AC82" i="50"/>
  <c r="N82" i="50"/>
  <c r="L82" i="50"/>
  <c r="I82" i="50"/>
  <c r="H82" i="50"/>
  <c r="AC81" i="50"/>
  <c r="N81" i="50"/>
  <c r="L81" i="50"/>
  <c r="I81" i="50"/>
  <c r="H81" i="50"/>
  <c r="AC80" i="50"/>
  <c r="N80" i="50"/>
  <c r="L80" i="50"/>
  <c r="I80" i="50"/>
  <c r="H80" i="50"/>
  <c r="AC79" i="50"/>
  <c r="N79" i="50"/>
  <c r="L79" i="50"/>
  <c r="I79" i="50"/>
  <c r="H79" i="50"/>
  <c r="AC78" i="50"/>
  <c r="N78" i="50"/>
  <c r="L78" i="50"/>
  <c r="I78" i="50"/>
  <c r="H78" i="50"/>
  <c r="AC77" i="50"/>
  <c r="N77" i="50"/>
  <c r="L77" i="50"/>
  <c r="I77" i="50"/>
  <c r="H77" i="50"/>
  <c r="AC76" i="50"/>
  <c r="N76" i="50"/>
  <c r="L76" i="50"/>
  <c r="I76" i="50"/>
  <c r="H76" i="50"/>
  <c r="AC75" i="50"/>
  <c r="N75" i="50"/>
  <c r="L75" i="50"/>
  <c r="I75" i="50"/>
  <c r="H75" i="50"/>
  <c r="AC74" i="50"/>
  <c r="N74" i="50"/>
  <c r="L74" i="50"/>
  <c r="I74" i="50"/>
  <c r="H74" i="50"/>
  <c r="AC73" i="50"/>
  <c r="N73" i="50"/>
  <c r="L73" i="50"/>
  <c r="I73" i="50"/>
  <c r="H73" i="50"/>
  <c r="AC72" i="50"/>
  <c r="N72" i="50"/>
  <c r="L72" i="50"/>
  <c r="I72" i="50"/>
  <c r="H72" i="50"/>
  <c r="AC71" i="50"/>
  <c r="N71" i="50"/>
  <c r="L71" i="50"/>
  <c r="I71" i="50"/>
  <c r="H71" i="50"/>
  <c r="AC70" i="50"/>
  <c r="N70" i="50"/>
  <c r="L70" i="50"/>
  <c r="I70" i="50"/>
  <c r="H70" i="50"/>
  <c r="AC69" i="50"/>
  <c r="N69" i="50"/>
  <c r="L69" i="50"/>
  <c r="I69" i="50"/>
  <c r="H69" i="50"/>
  <c r="AC68" i="50"/>
  <c r="N68" i="50"/>
  <c r="L68" i="50"/>
  <c r="I68" i="50"/>
  <c r="H68" i="50"/>
  <c r="AC67" i="50"/>
  <c r="N67" i="50"/>
  <c r="L67" i="50"/>
  <c r="I67" i="50"/>
  <c r="H67" i="50"/>
  <c r="AC66" i="50"/>
  <c r="N66" i="50"/>
  <c r="L66" i="50"/>
  <c r="I66" i="50"/>
  <c r="H66" i="50"/>
  <c r="AC65" i="50"/>
  <c r="N65" i="50"/>
  <c r="L65" i="50"/>
  <c r="I65" i="50"/>
  <c r="H65" i="50"/>
  <c r="AC64" i="50"/>
  <c r="N64" i="50"/>
  <c r="L64" i="50"/>
  <c r="I64" i="50"/>
  <c r="H64" i="50"/>
  <c r="AC63" i="50"/>
  <c r="N63" i="50"/>
  <c r="L63" i="50"/>
  <c r="I63" i="50"/>
  <c r="H63" i="50"/>
  <c r="AC62" i="50"/>
  <c r="N62" i="50"/>
  <c r="L62" i="50"/>
  <c r="I62" i="50"/>
  <c r="H62" i="50"/>
  <c r="AC61" i="50"/>
  <c r="N61" i="50"/>
  <c r="L61" i="50"/>
  <c r="I61" i="50"/>
  <c r="H61" i="50"/>
  <c r="AC60" i="50"/>
  <c r="N60" i="50"/>
  <c r="L60" i="50"/>
  <c r="I60" i="50"/>
  <c r="H60" i="50"/>
  <c r="AC59" i="50"/>
  <c r="N59" i="50"/>
  <c r="L59" i="50"/>
  <c r="I59" i="50"/>
  <c r="H59" i="50"/>
  <c r="AC58" i="50"/>
  <c r="N58" i="50"/>
  <c r="L58" i="50"/>
  <c r="I58" i="50"/>
  <c r="H58" i="50"/>
  <c r="AC57" i="50"/>
  <c r="N57" i="50"/>
  <c r="L57" i="50"/>
  <c r="I57" i="50"/>
  <c r="H57" i="50"/>
  <c r="AC56" i="50"/>
  <c r="N56" i="50"/>
  <c r="L56" i="50"/>
  <c r="I56" i="50"/>
  <c r="H56" i="50"/>
  <c r="AC55" i="50"/>
  <c r="N55" i="50"/>
  <c r="L55" i="50"/>
  <c r="I55" i="50"/>
  <c r="H55" i="50"/>
  <c r="AC54" i="50"/>
  <c r="N54" i="50"/>
  <c r="L54" i="50"/>
  <c r="I54" i="50"/>
  <c r="H54" i="50"/>
  <c r="AC53" i="50"/>
  <c r="N53" i="50"/>
  <c r="L53" i="50"/>
  <c r="I53" i="50"/>
  <c r="H53" i="50"/>
  <c r="AC52" i="50"/>
  <c r="N52" i="50"/>
  <c r="L52" i="50"/>
  <c r="I52" i="50"/>
  <c r="H52" i="50"/>
  <c r="AC51" i="50"/>
  <c r="AC50" i="50"/>
  <c r="N50" i="50"/>
  <c r="L50" i="50"/>
  <c r="I50" i="50"/>
  <c r="H50" i="50"/>
  <c r="AC49" i="50"/>
  <c r="N49" i="50"/>
  <c r="L49" i="50"/>
  <c r="I49" i="50"/>
  <c r="H49" i="50"/>
  <c r="AC48" i="50"/>
  <c r="N48" i="50"/>
  <c r="L48" i="50"/>
  <c r="I48" i="50"/>
  <c r="H48" i="50"/>
  <c r="AC47" i="50"/>
  <c r="N47" i="50"/>
  <c r="L47" i="50"/>
  <c r="I47" i="50"/>
  <c r="H47" i="50"/>
  <c r="AC46" i="50"/>
  <c r="N46" i="50"/>
  <c r="L46" i="50"/>
  <c r="I46" i="50"/>
  <c r="H46" i="50"/>
  <c r="AC45" i="50"/>
  <c r="N45" i="50"/>
  <c r="L45" i="50"/>
  <c r="I45" i="50"/>
  <c r="H45" i="50"/>
  <c r="AC44" i="50"/>
  <c r="N44" i="50"/>
  <c r="L44" i="50"/>
  <c r="I44" i="50"/>
  <c r="H44" i="50"/>
  <c r="AC43" i="50"/>
  <c r="N43" i="50"/>
  <c r="L43" i="50"/>
  <c r="I43" i="50"/>
  <c r="H43" i="50"/>
  <c r="AC42" i="50"/>
  <c r="N42" i="50"/>
  <c r="L42" i="50"/>
  <c r="I42" i="50"/>
  <c r="H42" i="50"/>
  <c r="AC41" i="50"/>
  <c r="N41" i="50"/>
  <c r="L41" i="50"/>
  <c r="I41" i="50"/>
  <c r="H41" i="50"/>
  <c r="AC40" i="50"/>
  <c r="N40" i="50"/>
  <c r="L40" i="50"/>
  <c r="I40" i="50"/>
  <c r="H40" i="50"/>
  <c r="AC39" i="50"/>
  <c r="N39" i="50"/>
  <c r="L39" i="50"/>
  <c r="I39" i="50"/>
  <c r="H39" i="50"/>
  <c r="AC38" i="50"/>
  <c r="N38" i="50"/>
  <c r="L38" i="50"/>
  <c r="I38" i="50"/>
  <c r="H38" i="50"/>
  <c r="AC37" i="50"/>
  <c r="N37" i="50"/>
  <c r="L37" i="50"/>
  <c r="I37" i="50"/>
  <c r="H37" i="50"/>
  <c r="AC36" i="50"/>
  <c r="N36" i="50"/>
  <c r="L36" i="50"/>
  <c r="I36" i="50"/>
  <c r="H36" i="50"/>
  <c r="AC35" i="50"/>
  <c r="N35" i="50"/>
  <c r="L35" i="50"/>
  <c r="I35" i="50"/>
  <c r="H35" i="50"/>
  <c r="AC34" i="50"/>
  <c r="N34" i="50"/>
  <c r="L34" i="50"/>
  <c r="I34" i="50"/>
  <c r="H34" i="50"/>
  <c r="AC33" i="50"/>
  <c r="N33" i="50"/>
  <c r="L33" i="50"/>
  <c r="I33" i="50"/>
  <c r="H33" i="50"/>
  <c r="AC32" i="50"/>
  <c r="N32" i="50"/>
  <c r="L32" i="50"/>
  <c r="I32" i="50"/>
  <c r="H32" i="50"/>
  <c r="AC31" i="50"/>
  <c r="N31" i="50"/>
  <c r="L31" i="50"/>
  <c r="I31" i="50"/>
  <c r="H31" i="50"/>
  <c r="AC30" i="50"/>
  <c r="N30" i="50"/>
  <c r="L30" i="50"/>
  <c r="I30" i="50"/>
  <c r="H30" i="50"/>
  <c r="AC29" i="50"/>
  <c r="N29" i="50"/>
  <c r="L29" i="50"/>
  <c r="I29" i="50"/>
  <c r="H29" i="50"/>
  <c r="AC28" i="50"/>
  <c r="N28" i="50"/>
  <c r="L28" i="50"/>
  <c r="I28" i="50"/>
  <c r="H28" i="50"/>
  <c r="AC27" i="50"/>
  <c r="N27" i="50"/>
  <c r="L27" i="50"/>
  <c r="I27" i="50"/>
  <c r="H27" i="50"/>
  <c r="AC26" i="50"/>
  <c r="N26" i="50"/>
  <c r="L26" i="50"/>
  <c r="I26" i="50"/>
  <c r="H26" i="50"/>
  <c r="AC25" i="50"/>
  <c r="N25" i="50"/>
  <c r="L25" i="50"/>
  <c r="I25" i="50"/>
  <c r="H25" i="50"/>
  <c r="AC24" i="50"/>
  <c r="N24" i="50"/>
  <c r="L24" i="50"/>
  <c r="I24" i="50"/>
  <c r="H24" i="50"/>
  <c r="AC23" i="50"/>
  <c r="N23" i="50"/>
  <c r="L23" i="50"/>
  <c r="I23" i="50"/>
  <c r="H23" i="50"/>
  <c r="AC22" i="50"/>
  <c r="N22" i="50"/>
  <c r="L22" i="50"/>
  <c r="I22" i="50"/>
  <c r="H22" i="50"/>
  <c r="AC21" i="50"/>
  <c r="N21" i="50"/>
  <c r="L21" i="50"/>
  <c r="I21" i="50"/>
  <c r="H21" i="50"/>
  <c r="AC20" i="50"/>
  <c r="N20" i="50"/>
  <c r="L20" i="50"/>
  <c r="I20" i="50"/>
  <c r="H20" i="50"/>
  <c r="AC19" i="50"/>
  <c r="N19" i="50"/>
  <c r="L19" i="50"/>
  <c r="I19" i="50"/>
  <c r="H19" i="50"/>
  <c r="AC18" i="50"/>
  <c r="N18" i="50"/>
  <c r="L18" i="50"/>
  <c r="I18" i="50"/>
  <c r="H18" i="50"/>
  <c r="AC17" i="50"/>
  <c r="N17" i="50"/>
  <c r="L17" i="50"/>
  <c r="I17" i="50"/>
  <c r="H17" i="50"/>
  <c r="AC16" i="50"/>
  <c r="N16" i="50"/>
  <c r="L16" i="50"/>
  <c r="I16" i="50"/>
  <c r="H16" i="50"/>
  <c r="AC15" i="50"/>
  <c r="N15" i="50"/>
  <c r="L15" i="50"/>
  <c r="I15" i="50"/>
  <c r="H15" i="50"/>
  <c r="AC14" i="50"/>
  <c r="N14" i="50"/>
  <c r="L14" i="50"/>
  <c r="I14" i="50"/>
  <c r="H14" i="50"/>
  <c r="AC13" i="50"/>
  <c r="N13" i="50"/>
  <c r="L13" i="50"/>
  <c r="I13" i="50"/>
  <c r="H13" i="50"/>
  <c r="AC12" i="50"/>
  <c r="N12" i="50"/>
  <c r="L12" i="50"/>
  <c r="I12" i="50"/>
  <c r="H12" i="50"/>
  <c r="AC11" i="50"/>
  <c r="N11" i="50"/>
  <c r="L11" i="50"/>
  <c r="I11" i="50"/>
  <c r="H11" i="50"/>
  <c r="AC10" i="50"/>
  <c r="N10" i="50"/>
  <c r="L10" i="50"/>
  <c r="I10" i="50"/>
  <c r="H10" i="50"/>
  <c r="AC9" i="50"/>
  <c r="N9" i="50"/>
  <c r="L9" i="50"/>
  <c r="I9" i="50"/>
  <c r="H9" i="50"/>
  <c r="AC8" i="50"/>
  <c r="N8" i="50"/>
  <c r="L8" i="50"/>
  <c r="I8" i="50"/>
  <c r="H8" i="50"/>
  <c r="AC7" i="50"/>
  <c r="N7" i="50"/>
  <c r="L7" i="50"/>
  <c r="I7" i="50"/>
  <c r="H7" i="50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AC6" i="50"/>
  <c r="N6" i="50"/>
  <c r="L6" i="50"/>
  <c r="I6" i="50"/>
  <c r="H6" i="50"/>
  <c r="S110" i="50" l="1"/>
  <c r="Y157" i="50"/>
  <c r="AA46" i="50"/>
  <c r="J26" i="50"/>
  <c r="R26" i="50" s="1"/>
  <c r="AA50" i="50"/>
  <c r="J28" i="50"/>
  <c r="S47" i="50"/>
  <c r="AA37" i="50"/>
  <c r="J41" i="50"/>
  <c r="R41" i="50" s="1"/>
  <c r="AA53" i="50"/>
  <c r="AA8" i="50"/>
  <c r="AA12" i="50"/>
  <c r="AA16" i="50"/>
  <c r="AA99" i="50"/>
  <c r="AA103" i="50"/>
  <c r="AA107" i="50"/>
  <c r="AA111" i="50"/>
  <c r="AA127" i="50"/>
  <c r="J131" i="50"/>
  <c r="R131" i="50" s="1"/>
  <c r="AA32" i="50"/>
  <c r="J112" i="50"/>
  <c r="S137" i="50"/>
  <c r="S20" i="50"/>
  <c r="J106" i="50"/>
  <c r="R106" i="50" s="1"/>
  <c r="U106" i="50" s="1"/>
  <c r="AA132" i="50"/>
  <c r="AA140" i="50"/>
  <c r="J151" i="50"/>
  <c r="S6" i="50"/>
  <c r="AA48" i="50"/>
  <c r="J104" i="50"/>
  <c r="R104" i="50" s="1"/>
  <c r="J45" i="50"/>
  <c r="R45" i="50" s="1"/>
  <c r="J10" i="50"/>
  <c r="R10" i="50" s="1"/>
  <c r="J12" i="50"/>
  <c r="S24" i="50"/>
  <c r="AA30" i="50"/>
  <c r="J39" i="50"/>
  <c r="R39" i="50" s="1"/>
  <c r="S43" i="50"/>
  <c r="AA65" i="50"/>
  <c r="AA97" i="50"/>
  <c r="AA101" i="50"/>
  <c r="J108" i="50"/>
  <c r="R108" i="50" s="1"/>
  <c r="AC152" i="50"/>
  <c r="S26" i="50"/>
  <c r="J114" i="50"/>
  <c r="R114" i="50" s="1"/>
  <c r="J139" i="50"/>
  <c r="J18" i="50"/>
  <c r="R18" i="50" s="1"/>
  <c r="J20" i="50"/>
  <c r="R20" i="50" s="1"/>
  <c r="I51" i="50"/>
  <c r="I152" i="50" s="1"/>
  <c r="I157" i="50" s="1"/>
  <c r="AA125" i="50"/>
  <c r="AA142" i="50"/>
  <c r="AA145" i="50"/>
  <c r="AA14" i="50"/>
  <c r="S22" i="50"/>
  <c r="AA40" i="50"/>
  <c r="AA44" i="50"/>
  <c r="J47" i="50"/>
  <c r="R47" i="50" s="1"/>
  <c r="S54" i="50"/>
  <c r="AA58" i="50"/>
  <c r="AA62" i="50"/>
  <c r="AA66" i="50"/>
  <c r="AA70" i="50"/>
  <c r="AA74" i="50"/>
  <c r="AA78" i="50"/>
  <c r="AA82" i="50"/>
  <c r="AA86" i="50"/>
  <c r="AA90" i="50"/>
  <c r="AA94" i="50"/>
  <c r="J98" i="50"/>
  <c r="R98" i="50" s="1"/>
  <c r="AA126" i="50"/>
  <c r="J135" i="50"/>
  <c r="R135" i="50" s="1"/>
  <c r="J143" i="50"/>
  <c r="R143" i="50" s="1"/>
  <c r="S149" i="50"/>
  <c r="AA150" i="50"/>
  <c r="J16" i="50"/>
  <c r="R16" i="50" s="1"/>
  <c r="J24" i="50"/>
  <c r="R24" i="50" s="1"/>
  <c r="J37" i="50"/>
  <c r="R37" i="50" s="1"/>
  <c r="AB37" i="50" s="1"/>
  <c r="AD37" i="50" s="1"/>
  <c r="AE37" i="50" s="1"/>
  <c r="J110" i="50"/>
  <c r="R110" i="50" s="1"/>
  <c r="J6" i="50"/>
  <c r="R6" i="50" s="1"/>
  <c r="J8" i="50"/>
  <c r="R8" i="50" s="1"/>
  <c r="AA10" i="50"/>
  <c r="J14" i="50"/>
  <c r="R14" i="50" s="1"/>
  <c r="S18" i="50"/>
  <c r="J22" i="50"/>
  <c r="R22" i="50" s="1"/>
  <c r="S28" i="50"/>
  <c r="S31" i="50"/>
  <c r="S35" i="50"/>
  <c r="AA36" i="50"/>
  <c r="S39" i="50"/>
  <c r="S41" i="50"/>
  <c r="AA42" i="50"/>
  <c r="S45" i="50"/>
  <c r="J49" i="50"/>
  <c r="R49" i="50" s="1"/>
  <c r="AA63" i="50"/>
  <c r="AA68" i="50"/>
  <c r="AA72" i="50"/>
  <c r="AA76" i="50"/>
  <c r="AA80" i="50"/>
  <c r="AA84" i="50"/>
  <c r="AA88" i="50"/>
  <c r="AA92" i="50"/>
  <c r="AA96" i="50"/>
  <c r="J100" i="50"/>
  <c r="R100" i="50" s="1"/>
  <c r="AA104" i="50"/>
  <c r="AA109" i="50"/>
  <c r="AA128" i="50"/>
  <c r="S131" i="50"/>
  <c r="J133" i="50"/>
  <c r="R133" i="50" s="1"/>
  <c r="S141" i="50"/>
  <c r="AA144" i="50"/>
  <c r="R28" i="50"/>
  <c r="AB28" i="50" s="1"/>
  <c r="J43" i="50"/>
  <c r="R43" i="50" s="1"/>
  <c r="S52" i="50"/>
  <c r="S56" i="50"/>
  <c r="AA64" i="50"/>
  <c r="AA67" i="50"/>
  <c r="AA69" i="50"/>
  <c r="AA73" i="50"/>
  <c r="AA75" i="50"/>
  <c r="AA77" i="50"/>
  <c r="AA81" i="50"/>
  <c r="AA83" i="50"/>
  <c r="AA85" i="50"/>
  <c r="AA89" i="50"/>
  <c r="AA91" i="50"/>
  <c r="AA93" i="50"/>
  <c r="S112" i="50"/>
  <c r="S114" i="50"/>
  <c r="S124" i="50"/>
  <c r="J141" i="50"/>
  <c r="R141" i="50" s="1"/>
  <c r="S143" i="50"/>
  <c r="S8" i="50"/>
  <c r="S10" i="50"/>
  <c r="S12" i="50"/>
  <c r="S14" i="50"/>
  <c r="S16" i="50"/>
  <c r="AA31" i="50"/>
  <c r="AA33" i="50"/>
  <c r="S37" i="50"/>
  <c r="S64" i="50"/>
  <c r="AA102" i="50"/>
  <c r="S117" i="50"/>
  <c r="S119" i="50"/>
  <c r="J124" i="50"/>
  <c r="R124" i="50" s="1"/>
  <c r="S126" i="50"/>
  <c r="AA147" i="50"/>
  <c r="S49" i="50"/>
  <c r="J64" i="50"/>
  <c r="R64" i="50" s="1"/>
  <c r="S66" i="50"/>
  <c r="S68" i="50"/>
  <c r="S70" i="50"/>
  <c r="S72" i="50"/>
  <c r="S74" i="50"/>
  <c r="S76" i="50"/>
  <c r="S78" i="50"/>
  <c r="S80" i="50"/>
  <c r="S82" i="50"/>
  <c r="S84" i="50"/>
  <c r="S86" i="50"/>
  <c r="S88" i="50"/>
  <c r="S90" i="50"/>
  <c r="S92" i="50"/>
  <c r="S94" i="50"/>
  <c r="S96" i="50"/>
  <c r="S98" i="50"/>
  <c r="S100" i="50"/>
  <c r="S102" i="50"/>
  <c r="J117" i="50"/>
  <c r="R117" i="50" s="1"/>
  <c r="J119" i="50"/>
  <c r="R119" i="50" s="1"/>
  <c r="AA123" i="50"/>
  <c r="J126" i="50"/>
  <c r="R126" i="50" s="1"/>
  <c r="S128" i="50"/>
  <c r="S133" i="50"/>
  <c r="S135" i="50"/>
  <c r="S139" i="50"/>
  <c r="S145" i="50"/>
  <c r="S151" i="50"/>
  <c r="S33" i="50"/>
  <c r="S27" i="50"/>
  <c r="S29" i="50"/>
  <c r="J31" i="50"/>
  <c r="R31" i="50" s="1"/>
  <c r="J33" i="50"/>
  <c r="R33" i="50" s="1"/>
  <c r="S62" i="50"/>
  <c r="J66" i="50"/>
  <c r="R66" i="50" s="1"/>
  <c r="J68" i="50"/>
  <c r="R68" i="50" s="1"/>
  <c r="J70" i="50"/>
  <c r="R70" i="50" s="1"/>
  <c r="J72" i="50"/>
  <c r="R72" i="50" s="1"/>
  <c r="J74" i="50"/>
  <c r="R74" i="50" s="1"/>
  <c r="J76" i="50"/>
  <c r="R76" i="50" s="1"/>
  <c r="J78" i="50"/>
  <c r="R78" i="50" s="1"/>
  <c r="J80" i="50"/>
  <c r="R80" i="50" s="1"/>
  <c r="J82" i="50"/>
  <c r="R82" i="50" s="1"/>
  <c r="J84" i="50"/>
  <c r="R84" i="50" s="1"/>
  <c r="J86" i="50"/>
  <c r="R86" i="50" s="1"/>
  <c r="J88" i="50"/>
  <c r="R88" i="50" s="1"/>
  <c r="J90" i="50"/>
  <c r="R90" i="50" s="1"/>
  <c r="J92" i="50"/>
  <c r="R92" i="50" s="1"/>
  <c r="J94" i="50"/>
  <c r="R94" i="50" s="1"/>
  <c r="J96" i="50"/>
  <c r="R96" i="50" s="1"/>
  <c r="J102" i="50"/>
  <c r="R102" i="50" s="1"/>
  <c r="S104" i="50"/>
  <c r="S106" i="50"/>
  <c r="S108" i="50"/>
  <c r="AA118" i="50"/>
  <c r="J137" i="50"/>
  <c r="R137" i="50" s="1"/>
  <c r="J145" i="50"/>
  <c r="R145" i="50" s="1"/>
  <c r="S7" i="50"/>
  <c r="J7" i="50"/>
  <c r="R7" i="50" s="1"/>
  <c r="S9" i="50"/>
  <c r="J9" i="50"/>
  <c r="R9" i="50" s="1"/>
  <c r="S11" i="50"/>
  <c r="J11" i="50"/>
  <c r="R11" i="50" s="1"/>
  <c r="S13" i="50"/>
  <c r="J13" i="50"/>
  <c r="R13" i="50" s="1"/>
  <c r="S15" i="50"/>
  <c r="J15" i="50"/>
  <c r="R15" i="50" s="1"/>
  <c r="S17" i="50"/>
  <c r="J17" i="50"/>
  <c r="R17" i="50" s="1"/>
  <c r="S19" i="50"/>
  <c r="J19" i="50"/>
  <c r="R19" i="50" s="1"/>
  <c r="S21" i="50"/>
  <c r="J21" i="50"/>
  <c r="R21" i="50" s="1"/>
  <c r="S23" i="50"/>
  <c r="J23" i="50"/>
  <c r="R23" i="50" s="1"/>
  <c r="S25" i="50"/>
  <c r="J25" i="50"/>
  <c r="R25" i="50" s="1"/>
  <c r="AA7" i="50"/>
  <c r="AA9" i="50"/>
  <c r="AA11" i="50"/>
  <c r="R12" i="50"/>
  <c r="AA13" i="50"/>
  <c r="AA15" i="50"/>
  <c r="AA17" i="50"/>
  <c r="AA19" i="50"/>
  <c r="AA21" i="50"/>
  <c r="AA23" i="50"/>
  <c r="AA25" i="50"/>
  <c r="AA27" i="50"/>
  <c r="AA29" i="50"/>
  <c r="S38" i="50"/>
  <c r="J38" i="50"/>
  <c r="R38" i="50" s="1"/>
  <c r="S30" i="50"/>
  <c r="J30" i="50"/>
  <c r="R30" i="50" s="1"/>
  <c r="S34" i="50"/>
  <c r="J34" i="50"/>
  <c r="R34" i="50" s="1"/>
  <c r="AA34" i="50"/>
  <c r="AA35" i="50"/>
  <c r="S36" i="50"/>
  <c r="J36" i="50"/>
  <c r="R36" i="50" s="1"/>
  <c r="S40" i="50"/>
  <c r="J40" i="50"/>
  <c r="R40" i="50" s="1"/>
  <c r="S42" i="50"/>
  <c r="J42" i="50"/>
  <c r="R42" i="50" s="1"/>
  <c r="S44" i="50"/>
  <c r="J44" i="50"/>
  <c r="R44" i="50" s="1"/>
  <c r="S46" i="50"/>
  <c r="J46" i="50"/>
  <c r="R46" i="50" s="1"/>
  <c r="S48" i="50"/>
  <c r="J48" i="50"/>
  <c r="R48" i="50" s="1"/>
  <c r="S50" i="50"/>
  <c r="J50" i="50"/>
  <c r="R50" i="50" s="1"/>
  <c r="S53" i="50"/>
  <c r="J53" i="50"/>
  <c r="R53" i="50" s="1"/>
  <c r="AA55" i="50"/>
  <c r="AA6" i="50"/>
  <c r="AA18" i="50"/>
  <c r="AA20" i="50"/>
  <c r="AA22" i="50"/>
  <c r="AA24" i="50"/>
  <c r="AA26" i="50"/>
  <c r="J27" i="50"/>
  <c r="R27" i="50" s="1"/>
  <c r="AA28" i="50"/>
  <c r="J29" i="50"/>
  <c r="R29" i="50" s="1"/>
  <c r="AA38" i="50"/>
  <c r="S55" i="50"/>
  <c r="J55" i="50"/>
  <c r="R55" i="50" s="1"/>
  <c r="AA57" i="50"/>
  <c r="S59" i="50"/>
  <c r="J59" i="50"/>
  <c r="R59" i="50" s="1"/>
  <c r="AA59" i="50"/>
  <c r="S32" i="50"/>
  <c r="J32" i="50"/>
  <c r="R32" i="50" s="1"/>
  <c r="J35" i="50"/>
  <c r="R35" i="50" s="1"/>
  <c r="S57" i="50"/>
  <c r="J57" i="50"/>
  <c r="R57" i="50" s="1"/>
  <c r="S60" i="50"/>
  <c r="J60" i="50"/>
  <c r="R60" i="50" s="1"/>
  <c r="AA52" i="50"/>
  <c r="AA54" i="50"/>
  <c r="AA56" i="50"/>
  <c r="AA113" i="50"/>
  <c r="S113" i="50"/>
  <c r="J113" i="50"/>
  <c r="R113" i="50" s="1"/>
  <c r="AA39" i="50"/>
  <c r="AA41" i="50"/>
  <c r="AA43" i="50"/>
  <c r="AA45" i="50"/>
  <c r="AA47" i="50"/>
  <c r="AA49" i="50"/>
  <c r="L51" i="50"/>
  <c r="L152" i="50" s="1"/>
  <c r="L157" i="50" s="1"/>
  <c r="S61" i="50"/>
  <c r="J61" i="50"/>
  <c r="R61" i="50" s="1"/>
  <c r="S65" i="50"/>
  <c r="J65" i="50"/>
  <c r="R65" i="50" s="1"/>
  <c r="S105" i="50"/>
  <c r="J105" i="50"/>
  <c r="R105" i="50" s="1"/>
  <c r="AA105" i="50"/>
  <c r="S129" i="50"/>
  <c r="J129" i="50"/>
  <c r="R129" i="50" s="1"/>
  <c r="AA129" i="50"/>
  <c r="H51" i="50"/>
  <c r="N51" i="50"/>
  <c r="N152" i="50" s="1"/>
  <c r="N157" i="50" s="1"/>
  <c r="J52" i="50"/>
  <c r="R52" i="50" s="1"/>
  <c r="J54" i="50"/>
  <c r="R54" i="50" s="1"/>
  <c r="J56" i="50"/>
  <c r="R56" i="50" s="1"/>
  <c r="J58" i="50"/>
  <c r="R58" i="50" s="1"/>
  <c r="S58" i="50"/>
  <c r="AA60" i="50"/>
  <c r="AA61" i="50"/>
  <c r="J62" i="50"/>
  <c r="R62" i="50" s="1"/>
  <c r="S63" i="50"/>
  <c r="J63" i="50"/>
  <c r="R63" i="50" s="1"/>
  <c r="AA71" i="50"/>
  <c r="AA79" i="50"/>
  <c r="AA87" i="50"/>
  <c r="AA95" i="50"/>
  <c r="S121" i="50"/>
  <c r="J121" i="50"/>
  <c r="R121" i="50" s="1"/>
  <c r="AA121" i="50"/>
  <c r="S148" i="50"/>
  <c r="J148" i="50"/>
  <c r="R148" i="50" s="1"/>
  <c r="AA148" i="50"/>
  <c r="J67" i="50"/>
  <c r="R67" i="50" s="1"/>
  <c r="S67" i="50"/>
  <c r="J69" i="50"/>
  <c r="R69" i="50" s="1"/>
  <c r="S69" i="50"/>
  <c r="J71" i="50"/>
  <c r="R71" i="50" s="1"/>
  <c r="S71" i="50"/>
  <c r="J73" i="50"/>
  <c r="R73" i="50" s="1"/>
  <c r="S73" i="50"/>
  <c r="J75" i="50"/>
  <c r="R75" i="50" s="1"/>
  <c r="S75" i="50"/>
  <c r="J77" i="50"/>
  <c r="R77" i="50" s="1"/>
  <c r="S77" i="50"/>
  <c r="J79" i="50"/>
  <c r="R79" i="50" s="1"/>
  <c r="S79" i="50"/>
  <c r="J81" i="50"/>
  <c r="R81" i="50" s="1"/>
  <c r="S81" i="50"/>
  <c r="J83" i="50"/>
  <c r="R83" i="50" s="1"/>
  <c r="S83" i="50"/>
  <c r="J85" i="50"/>
  <c r="R85" i="50" s="1"/>
  <c r="S85" i="50"/>
  <c r="J87" i="50"/>
  <c r="R87" i="50" s="1"/>
  <c r="S87" i="50"/>
  <c r="J89" i="50"/>
  <c r="R89" i="50" s="1"/>
  <c r="S89" i="50"/>
  <c r="J91" i="50"/>
  <c r="R91" i="50" s="1"/>
  <c r="S91" i="50"/>
  <c r="J93" i="50"/>
  <c r="R93" i="50" s="1"/>
  <c r="S93" i="50"/>
  <c r="J95" i="50"/>
  <c r="R95" i="50" s="1"/>
  <c r="S95" i="50"/>
  <c r="J97" i="50"/>
  <c r="R97" i="50" s="1"/>
  <c r="S97" i="50"/>
  <c r="AA98" i="50"/>
  <c r="J99" i="50"/>
  <c r="R99" i="50" s="1"/>
  <c r="S99" i="50"/>
  <c r="AA100" i="50"/>
  <c r="J101" i="50"/>
  <c r="R101" i="50" s="1"/>
  <c r="S101" i="50"/>
  <c r="S103" i="50"/>
  <c r="J103" i="50"/>
  <c r="R103" i="50" s="1"/>
  <c r="S111" i="50"/>
  <c r="J111" i="50"/>
  <c r="R111" i="50" s="1"/>
  <c r="R112" i="50"/>
  <c r="S109" i="50"/>
  <c r="J109" i="50"/>
  <c r="R109" i="50" s="1"/>
  <c r="S116" i="50"/>
  <c r="J116" i="50"/>
  <c r="R116" i="50" s="1"/>
  <c r="AA116" i="50"/>
  <c r="AA130" i="50"/>
  <c r="S130" i="50"/>
  <c r="J130" i="50"/>
  <c r="R130" i="50" s="1"/>
  <c r="S107" i="50"/>
  <c r="J107" i="50"/>
  <c r="R107" i="50" s="1"/>
  <c r="S115" i="50"/>
  <c r="S122" i="50"/>
  <c r="J122" i="50"/>
  <c r="R122" i="50" s="1"/>
  <c r="AA106" i="50"/>
  <c r="AA108" i="50"/>
  <c r="AA110" i="50"/>
  <c r="AA112" i="50"/>
  <c r="AA114" i="50"/>
  <c r="J115" i="50"/>
  <c r="R115" i="50" s="1"/>
  <c r="S127" i="50"/>
  <c r="J127" i="50"/>
  <c r="R127" i="50" s="1"/>
  <c r="S134" i="50"/>
  <c r="J134" i="50"/>
  <c r="R134" i="50" s="1"/>
  <c r="S146" i="50"/>
  <c r="J146" i="50"/>
  <c r="R146" i="50" s="1"/>
  <c r="S147" i="50"/>
  <c r="J147" i="50"/>
  <c r="R147" i="50" s="1"/>
  <c r="AA120" i="50"/>
  <c r="S120" i="50"/>
  <c r="J120" i="50"/>
  <c r="R120" i="50" s="1"/>
  <c r="AA124" i="50"/>
  <c r="S125" i="50"/>
  <c r="J125" i="50"/>
  <c r="R125" i="50" s="1"/>
  <c r="J128" i="50"/>
  <c r="R128" i="50" s="1"/>
  <c r="AA134" i="50"/>
  <c r="AA146" i="50"/>
  <c r="J149" i="50"/>
  <c r="R149" i="50" s="1"/>
  <c r="AA115" i="50"/>
  <c r="S118" i="50"/>
  <c r="J118" i="50"/>
  <c r="R118" i="50" s="1"/>
  <c r="AA122" i="50"/>
  <c r="S123" i="50"/>
  <c r="J123" i="50"/>
  <c r="R123" i="50" s="1"/>
  <c r="S136" i="50"/>
  <c r="J136" i="50"/>
  <c r="R136" i="50" s="1"/>
  <c r="AA136" i="50"/>
  <c r="AA138" i="50"/>
  <c r="S142" i="50"/>
  <c r="J142" i="50"/>
  <c r="R142" i="50" s="1"/>
  <c r="R151" i="50"/>
  <c r="AA117" i="50"/>
  <c r="AA119" i="50"/>
  <c r="S132" i="50"/>
  <c r="J132" i="50"/>
  <c r="R132" i="50" s="1"/>
  <c r="S140" i="50"/>
  <c r="J140" i="50"/>
  <c r="R140" i="50" s="1"/>
  <c r="S144" i="50"/>
  <c r="J144" i="50"/>
  <c r="R144" i="50" s="1"/>
  <c r="AA151" i="50"/>
  <c r="S138" i="50"/>
  <c r="J138" i="50"/>
  <c r="R138" i="50" s="1"/>
  <c r="R139" i="50"/>
  <c r="AA149" i="50"/>
  <c r="S150" i="50"/>
  <c r="J150" i="50"/>
  <c r="R150" i="50" s="1"/>
  <c r="AA131" i="50"/>
  <c r="AA133" i="50"/>
  <c r="AA135" i="50"/>
  <c r="AA137" i="50"/>
  <c r="AA139" i="50"/>
  <c r="AA141" i="50"/>
  <c r="AA143" i="50"/>
  <c r="T108" i="50" l="1"/>
  <c r="U108" i="50"/>
  <c r="T106" i="50"/>
  <c r="W106" i="50" s="1"/>
  <c r="X106" i="50" s="1"/>
  <c r="Z106" i="50" s="1"/>
  <c r="AB106" i="50"/>
  <c r="AD106" i="50" s="1"/>
  <c r="AE106" i="50" s="1"/>
  <c r="U28" i="50"/>
  <c r="AB108" i="50"/>
  <c r="AD108" i="50" s="1"/>
  <c r="AE108" i="50" s="1"/>
  <c r="T37" i="50"/>
  <c r="U37" i="50"/>
  <c r="T28" i="50"/>
  <c r="AB31" i="50"/>
  <c r="AD31" i="50" s="1"/>
  <c r="AE31" i="50" s="1"/>
  <c r="U31" i="50"/>
  <c r="T31" i="50"/>
  <c r="T143" i="50"/>
  <c r="AB143" i="50"/>
  <c r="AD143" i="50" s="1"/>
  <c r="AE143" i="50" s="1"/>
  <c r="U143" i="50"/>
  <c r="AD28" i="50"/>
  <c r="AE28" i="50" s="1"/>
  <c r="U33" i="50"/>
  <c r="AB33" i="50"/>
  <c r="AD33" i="50" s="1"/>
  <c r="AE33" i="50" s="1"/>
  <c r="T33" i="50"/>
  <c r="AB126" i="50"/>
  <c r="AD126" i="50" s="1"/>
  <c r="AE126" i="50" s="1"/>
  <c r="U126" i="50"/>
  <c r="T126" i="50"/>
  <c r="U137" i="50"/>
  <c r="T137" i="50"/>
  <c r="AB137" i="50"/>
  <c r="AD137" i="50" s="1"/>
  <c r="AE137" i="50" s="1"/>
  <c r="U64" i="50"/>
  <c r="T64" i="50"/>
  <c r="AB64" i="50"/>
  <c r="AD64" i="50" s="1"/>
  <c r="AE64" i="50" s="1"/>
  <c r="T124" i="50"/>
  <c r="AB124" i="50"/>
  <c r="AD124" i="50" s="1"/>
  <c r="AE124" i="50" s="1"/>
  <c r="U124" i="50"/>
  <c r="T90" i="50"/>
  <c r="AB90" i="50"/>
  <c r="AD90" i="50" s="1"/>
  <c r="AE90" i="50" s="1"/>
  <c r="U90" i="50"/>
  <c r="U82" i="50"/>
  <c r="T82" i="50"/>
  <c r="AB82" i="50"/>
  <c r="AD82" i="50" s="1"/>
  <c r="AE82" i="50" s="1"/>
  <c r="U74" i="50"/>
  <c r="T74" i="50"/>
  <c r="AB74" i="50"/>
  <c r="AD74" i="50" s="1"/>
  <c r="AE74" i="50" s="1"/>
  <c r="U119" i="50"/>
  <c r="T119" i="50"/>
  <c r="AB119" i="50"/>
  <c r="AD119" i="50" s="1"/>
  <c r="AE119" i="50" s="1"/>
  <c r="T145" i="50"/>
  <c r="AB145" i="50"/>
  <c r="AD145" i="50" s="1"/>
  <c r="AE145" i="50" s="1"/>
  <c r="U145" i="50"/>
  <c r="U96" i="50"/>
  <c r="AB96" i="50"/>
  <c r="AD96" i="50" s="1"/>
  <c r="AE96" i="50" s="1"/>
  <c r="T96" i="50"/>
  <c r="AB88" i="50"/>
  <c r="AD88" i="50" s="1"/>
  <c r="AE88" i="50" s="1"/>
  <c r="T88" i="50"/>
  <c r="U88" i="50"/>
  <c r="U80" i="50"/>
  <c r="AB80" i="50"/>
  <c r="AD80" i="50" s="1"/>
  <c r="AE80" i="50" s="1"/>
  <c r="T80" i="50"/>
  <c r="AB72" i="50"/>
  <c r="AD72" i="50" s="1"/>
  <c r="AE72" i="50" s="1"/>
  <c r="T72" i="50"/>
  <c r="U72" i="50"/>
  <c r="AB117" i="50"/>
  <c r="AD117" i="50" s="1"/>
  <c r="AE117" i="50" s="1"/>
  <c r="U117" i="50"/>
  <c r="T117" i="50"/>
  <c r="AB123" i="50"/>
  <c r="AD123" i="50" s="1"/>
  <c r="AE123" i="50" s="1"/>
  <c r="T123" i="50"/>
  <c r="U123" i="50"/>
  <c r="AB148" i="50"/>
  <c r="AD148" i="50" s="1"/>
  <c r="AE148" i="50" s="1"/>
  <c r="U148" i="50"/>
  <c r="T148" i="50"/>
  <c r="AB54" i="50"/>
  <c r="AD54" i="50" s="1"/>
  <c r="AE54" i="50" s="1"/>
  <c r="U54" i="50"/>
  <c r="T54" i="50"/>
  <c r="U57" i="50"/>
  <c r="T57" i="50"/>
  <c r="AB57" i="50"/>
  <c r="AD57" i="50" s="1"/>
  <c r="AE57" i="50" s="1"/>
  <c r="AB36" i="50"/>
  <c r="AD36" i="50" s="1"/>
  <c r="AE36" i="50" s="1"/>
  <c r="U36" i="50"/>
  <c r="T36" i="50"/>
  <c r="U122" i="50"/>
  <c r="T122" i="50"/>
  <c r="AB122" i="50"/>
  <c r="AD122" i="50" s="1"/>
  <c r="AE122" i="50" s="1"/>
  <c r="AB129" i="50"/>
  <c r="AD129" i="50" s="1"/>
  <c r="AE129" i="50" s="1"/>
  <c r="U129" i="50"/>
  <c r="T129" i="50"/>
  <c r="T134" i="50"/>
  <c r="U134" i="50"/>
  <c r="AB134" i="50"/>
  <c r="AD134" i="50" s="1"/>
  <c r="AE134" i="50" s="1"/>
  <c r="T136" i="50"/>
  <c r="AB136" i="50"/>
  <c r="AD136" i="50" s="1"/>
  <c r="AE136" i="50" s="1"/>
  <c r="U136" i="50"/>
  <c r="AB127" i="50"/>
  <c r="AD127" i="50" s="1"/>
  <c r="AE127" i="50" s="1"/>
  <c r="U127" i="50"/>
  <c r="T127" i="50"/>
  <c r="U87" i="50"/>
  <c r="T87" i="50"/>
  <c r="AB87" i="50"/>
  <c r="AD87" i="50" s="1"/>
  <c r="AE87" i="50" s="1"/>
  <c r="U79" i="50"/>
  <c r="T79" i="50"/>
  <c r="AB79" i="50"/>
  <c r="AD79" i="50" s="1"/>
  <c r="AE79" i="50" s="1"/>
  <c r="U62" i="50"/>
  <c r="AB62" i="50"/>
  <c r="AD62" i="50" s="1"/>
  <c r="AE62" i="50" s="1"/>
  <c r="T62" i="50"/>
  <c r="U58" i="50"/>
  <c r="T58" i="50"/>
  <c r="AB58" i="50"/>
  <c r="AD58" i="50" s="1"/>
  <c r="AE58" i="50" s="1"/>
  <c r="U60" i="50"/>
  <c r="AB60" i="50"/>
  <c r="AD60" i="50" s="1"/>
  <c r="AE60" i="50" s="1"/>
  <c r="T60" i="50"/>
  <c r="U55" i="50"/>
  <c r="T55" i="50"/>
  <c r="AB55" i="50"/>
  <c r="AD55" i="50" s="1"/>
  <c r="AE55" i="50" s="1"/>
  <c r="T132" i="50"/>
  <c r="U132" i="50"/>
  <c r="AB132" i="50"/>
  <c r="AD132" i="50" s="1"/>
  <c r="AE132" i="50" s="1"/>
  <c r="U128" i="50"/>
  <c r="T128" i="50"/>
  <c r="AB128" i="50"/>
  <c r="AD128" i="50" s="1"/>
  <c r="AE128" i="50" s="1"/>
  <c r="AB146" i="50"/>
  <c r="AD146" i="50" s="1"/>
  <c r="AE146" i="50" s="1"/>
  <c r="U146" i="50"/>
  <c r="T146" i="50"/>
  <c r="T116" i="50"/>
  <c r="U116" i="50"/>
  <c r="AB116" i="50"/>
  <c r="AD116" i="50" s="1"/>
  <c r="AE116" i="50" s="1"/>
  <c r="T111" i="50"/>
  <c r="U111" i="50"/>
  <c r="AB111" i="50"/>
  <c r="AD111" i="50" s="1"/>
  <c r="AE111" i="50" s="1"/>
  <c r="U95" i="50"/>
  <c r="T95" i="50"/>
  <c r="AB95" i="50"/>
  <c r="AD95" i="50" s="1"/>
  <c r="AE95" i="50" s="1"/>
  <c r="U71" i="50"/>
  <c r="T71" i="50"/>
  <c r="AB71" i="50"/>
  <c r="AD71" i="50" s="1"/>
  <c r="AE71" i="50" s="1"/>
  <c r="T138" i="50"/>
  <c r="AB138" i="50"/>
  <c r="AD138" i="50" s="1"/>
  <c r="AE138" i="50" s="1"/>
  <c r="U138" i="50"/>
  <c r="AB115" i="50"/>
  <c r="AD115" i="50" s="1"/>
  <c r="AE115" i="50" s="1"/>
  <c r="U115" i="50"/>
  <c r="T115" i="50"/>
  <c r="AB121" i="50"/>
  <c r="AD121" i="50" s="1"/>
  <c r="AE121" i="50" s="1"/>
  <c r="U121" i="50"/>
  <c r="T121" i="50"/>
  <c r="AB56" i="50"/>
  <c r="AD56" i="50" s="1"/>
  <c r="AE56" i="50" s="1"/>
  <c r="U56" i="50"/>
  <c r="T56" i="50"/>
  <c r="U35" i="50"/>
  <c r="T35" i="50"/>
  <c r="AB35" i="50"/>
  <c r="AD35" i="50" s="1"/>
  <c r="AE35" i="50" s="1"/>
  <c r="AB59" i="50"/>
  <c r="AD59" i="50" s="1"/>
  <c r="AE59" i="50" s="1"/>
  <c r="U59" i="50"/>
  <c r="T59" i="50"/>
  <c r="T27" i="50"/>
  <c r="U27" i="50"/>
  <c r="AB27" i="50"/>
  <c r="AD27" i="50" s="1"/>
  <c r="AE27" i="50" s="1"/>
  <c r="AB30" i="50"/>
  <c r="AD30" i="50" s="1"/>
  <c r="AE30" i="50" s="1"/>
  <c r="U30" i="50"/>
  <c r="T30" i="50"/>
  <c r="AB150" i="50"/>
  <c r="AD150" i="50" s="1"/>
  <c r="AE150" i="50" s="1"/>
  <c r="T150" i="50"/>
  <c r="U150" i="50"/>
  <c r="T120" i="50"/>
  <c r="W120" i="50" s="1"/>
  <c r="X120" i="50" s="1"/>
  <c r="Z120" i="50" s="1"/>
  <c r="AB120" i="50"/>
  <c r="AD120" i="50" s="1"/>
  <c r="AE120" i="50" s="1"/>
  <c r="U83" i="50"/>
  <c r="T83" i="50"/>
  <c r="AB83" i="50"/>
  <c r="AD83" i="50" s="1"/>
  <c r="AE83" i="50" s="1"/>
  <c r="U67" i="50"/>
  <c r="T67" i="50"/>
  <c r="AB67" i="50"/>
  <c r="AD67" i="50" s="1"/>
  <c r="AE67" i="50" s="1"/>
  <c r="AA51" i="50"/>
  <c r="S51" i="50"/>
  <c r="S152" i="50" s="1"/>
  <c r="S157" i="50" s="1"/>
  <c r="J51" i="50"/>
  <c r="R51" i="50" s="1"/>
  <c r="U53" i="50"/>
  <c r="T53" i="50"/>
  <c r="AB53" i="50"/>
  <c r="AD53" i="50" s="1"/>
  <c r="AE53" i="50" s="1"/>
  <c r="T29" i="50"/>
  <c r="U29" i="50"/>
  <c r="AB29" i="50"/>
  <c r="AD29" i="50" s="1"/>
  <c r="AE29" i="50" s="1"/>
  <c r="AB38" i="50"/>
  <c r="AD38" i="50" s="1"/>
  <c r="AE38" i="50" s="1"/>
  <c r="T38" i="50"/>
  <c r="W38" i="50" s="1"/>
  <c r="X38" i="50" s="1"/>
  <c r="Z38" i="50" s="1"/>
  <c r="AB20" i="50"/>
  <c r="AD20" i="50" s="1"/>
  <c r="AE20" i="50" s="1"/>
  <c r="U20" i="50"/>
  <c r="T20" i="50"/>
  <c r="U147" i="50"/>
  <c r="T147" i="50"/>
  <c r="AB147" i="50"/>
  <c r="AD147" i="50" s="1"/>
  <c r="AE147" i="50" s="1"/>
  <c r="AB110" i="50"/>
  <c r="AD110" i="50" s="1"/>
  <c r="AE110" i="50" s="1"/>
  <c r="U110" i="50"/>
  <c r="T110" i="50"/>
  <c r="AB114" i="50"/>
  <c r="AD114" i="50" s="1"/>
  <c r="AE114" i="50" s="1"/>
  <c r="U114" i="50"/>
  <c r="T114" i="50"/>
  <c r="AB98" i="50"/>
  <c r="AD98" i="50" s="1"/>
  <c r="AE98" i="50" s="1"/>
  <c r="U98" i="50"/>
  <c r="T98" i="50"/>
  <c r="AB68" i="50"/>
  <c r="AD68" i="50" s="1"/>
  <c r="AE68" i="50" s="1"/>
  <c r="U68" i="50"/>
  <c r="T68" i="50"/>
  <c r="AB100" i="50"/>
  <c r="AD100" i="50" s="1"/>
  <c r="AE100" i="50" s="1"/>
  <c r="U100" i="50"/>
  <c r="T100" i="50"/>
  <c r="AB94" i="50"/>
  <c r="AD94" i="50" s="1"/>
  <c r="AE94" i="50" s="1"/>
  <c r="U94" i="50"/>
  <c r="T94" i="50"/>
  <c r="AB86" i="50"/>
  <c r="AD86" i="50" s="1"/>
  <c r="AE86" i="50" s="1"/>
  <c r="U86" i="50"/>
  <c r="T86" i="50"/>
  <c r="AB78" i="50"/>
  <c r="AD78" i="50" s="1"/>
  <c r="AE78" i="50" s="1"/>
  <c r="U78" i="50"/>
  <c r="T78" i="50"/>
  <c r="AB70" i="50"/>
  <c r="AD70" i="50" s="1"/>
  <c r="AE70" i="50" s="1"/>
  <c r="U70" i="50"/>
  <c r="T70" i="50"/>
  <c r="T32" i="50"/>
  <c r="AB32" i="50"/>
  <c r="AD32" i="50" s="1"/>
  <c r="AE32" i="50" s="1"/>
  <c r="U32" i="50"/>
  <c r="H152" i="50"/>
  <c r="H157" i="50" s="1"/>
  <c r="AB49" i="50"/>
  <c r="AD49" i="50" s="1"/>
  <c r="AE49" i="50" s="1"/>
  <c r="U49" i="50"/>
  <c r="T49" i="50"/>
  <c r="AB47" i="50"/>
  <c r="AD47" i="50" s="1"/>
  <c r="AE47" i="50" s="1"/>
  <c r="U47" i="50"/>
  <c r="T47" i="50"/>
  <c r="AB45" i="50"/>
  <c r="AD45" i="50" s="1"/>
  <c r="AE45" i="50" s="1"/>
  <c r="U45" i="50"/>
  <c r="T45" i="50"/>
  <c r="AB43" i="50"/>
  <c r="AD43" i="50" s="1"/>
  <c r="AE43" i="50" s="1"/>
  <c r="U43" i="50"/>
  <c r="T43" i="50"/>
  <c r="AB41" i="50"/>
  <c r="AD41" i="50" s="1"/>
  <c r="AE41" i="50" s="1"/>
  <c r="U41" i="50"/>
  <c r="T41" i="50"/>
  <c r="AB14" i="50"/>
  <c r="AD14" i="50" s="1"/>
  <c r="AE14" i="50" s="1"/>
  <c r="U14" i="50"/>
  <c r="T14" i="50"/>
  <c r="T25" i="50"/>
  <c r="AB25" i="50"/>
  <c r="AD25" i="50" s="1"/>
  <c r="AE25" i="50" s="1"/>
  <c r="U25" i="50"/>
  <c r="T23" i="50"/>
  <c r="AB23" i="50"/>
  <c r="AD23" i="50" s="1"/>
  <c r="AE23" i="50" s="1"/>
  <c r="U23" i="50"/>
  <c r="T21" i="50"/>
  <c r="AB21" i="50"/>
  <c r="AD21" i="50" s="1"/>
  <c r="AE21" i="50" s="1"/>
  <c r="U21" i="50"/>
  <c r="T19" i="50"/>
  <c r="AB19" i="50"/>
  <c r="AD19" i="50" s="1"/>
  <c r="AE19" i="50" s="1"/>
  <c r="U19" i="50"/>
  <c r="T17" i="50"/>
  <c r="AB17" i="50"/>
  <c r="AD17" i="50" s="1"/>
  <c r="AE17" i="50" s="1"/>
  <c r="U17" i="50"/>
  <c r="T15" i="50"/>
  <c r="AB15" i="50"/>
  <c r="AD15" i="50" s="1"/>
  <c r="AE15" i="50" s="1"/>
  <c r="U15" i="50"/>
  <c r="T13" i="50"/>
  <c r="AB13" i="50"/>
  <c r="AD13" i="50" s="1"/>
  <c r="AE13" i="50" s="1"/>
  <c r="U13" i="50"/>
  <c r="T11" i="50"/>
  <c r="AB11" i="50"/>
  <c r="AD11" i="50" s="1"/>
  <c r="AE11" i="50" s="1"/>
  <c r="U11" i="50"/>
  <c r="T9" i="50"/>
  <c r="AB9" i="50"/>
  <c r="AD9" i="50" s="1"/>
  <c r="AE9" i="50" s="1"/>
  <c r="U9" i="50"/>
  <c r="T7" i="50"/>
  <c r="AB7" i="50"/>
  <c r="AD7" i="50" s="1"/>
  <c r="AE7" i="50" s="1"/>
  <c r="U7" i="50"/>
  <c r="AB141" i="50"/>
  <c r="AD141" i="50" s="1"/>
  <c r="AE141" i="50" s="1"/>
  <c r="U141" i="50"/>
  <c r="T141" i="50"/>
  <c r="AB135" i="50"/>
  <c r="AD135" i="50" s="1"/>
  <c r="AE135" i="50" s="1"/>
  <c r="U135" i="50"/>
  <c r="T135" i="50"/>
  <c r="U149" i="50"/>
  <c r="T149" i="50"/>
  <c r="AB149" i="50"/>
  <c r="AD149" i="50" s="1"/>
  <c r="AE149" i="50" s="1"/>
  <c r="U101" i="50"/>
  <c r="T101" i="50"/>
  <c r="AB101" i="50"/>
  <c r="AD101" i="50" s="1"/>
  <c r="AE101" i="50" s="1"/>
  <c r="AB92" i="50"/>
  <c r="AD92" i="50" s="1"/>
  <c r="AE92" i="50" s="1"/>
  <c r="U92" i="50"/>
  <c r="T92" i="50"/>
  <c r="T105" i="50"/>
  <c r="U105" i="50"/>
  <c r="AB105" i="50"/>
  <c r="AD105" i="50" s="1"/>
  <c r="AE105" i="50" s="1"/>
  <c r="AB52" i="50"/>
  <c r="AD52" i="50" s="1"/>
  <c r="AE52" i="50" s="1"/>
  <c r="U52" i="50"/>
  <c r="T52" i="50"/>
  <c r="AB6" i="50"/>
  <c r="U6" i="50"/>
  <c r="T6" i="50"/>
  <c r="AB24" i="50"/>
  <c r="AD24" i="50" s="1"/>
  <c r="AE24" i="50" s="1"/>
  <c r="U24" i="50"/>
  <c r="T24" i="50"/>
  <c r="AB18" i="50"/>
  <c r="AD18" i="50" s="1"/>
  <c r="AE18" i="50" s="1"/>
  <c r="U18" i="50"/>
  <c r="T18" i="50"/>
  <c r="T140" i="50"/>
  <c r="U140" i="50"/>
  <c r="AB140" i="50"/>
  <c r="AD140" i="50" s="1"/>
  <c r="AE140" i="50" s="1"/>
  <c r="AB131" i="50"/>
  <c r="AD131" i="50" s="1"/>
  <c r="AE131" i="50" s="1"/>
  <c r="U131" i="50"/>
  <c r="T131" i="50"/>
  <c r="T118" i="50"/>
  <c r="AB118" i="50"/>
  <c r="AD118" i="50" s="1"/>
  <c r="AE118" i="50" s="1"/>
  <c r="U118" i="50"/>
  <c r="T130" i="50"/>
  <c r="AB130" i="50"/>
  <c r="AD130" i="50" s="1"/>
  <c r="AE130" i="50" s="1"/>
  <c r="U130" i="50"/>
  <c r="T109" i="50"/>
  <c r="U109" i="50"/>
  <c r="AB109" i="50"/>
  <c r="AD109" i="50" s="1"/>
  <c r="AE109" i="50" s="1"/>
  <c r="AB104" i="50"/>
  <c r="AD104" i="50" s="1"/>
  <c r="AE104" i="50" s="1"/>
  <c r="U104" i="50"/>
  <c r="T104" i="50"/>
  <c r="AB112" i="50"/>
  <c r="AD112" i="50" s="1"/>
  <c r="AE112" i="50" s="1"/>
  <c r="U112" i="50"/>
  <c r="T112" i="50"/>
  <c r="U97" i="50"/>
  <c r="T97" i="50"/>
  <c r="AB97" i="50"/>
  <c r="AD97" i="50" s="1"/>
  <c r="AE97" i="50" s="1"/>
  <c r="U93" i="50"/>
  <c r="T93" i="50"/>
  <c r="AB93" i="50"/>
  <c r="AD93" i="50" s="1"/>
  <c r="AE93" i="50" s="1"/>
  <c r="U89" i="50"/>
  <c r="T89" i="50"/>
  <c r="AB89" i="50"/>
  <c r="AD89" i="50" s="1"/>
  <c r="AE89" i="50" s="1"/>
  <c r="U85" i="50"/>
  <c r="T85" i="50"/>
  <c r="AB85" i="50"/>
  <c r="AD85" i="50" s="1"/>
  <c r="AE85" i="50" s="1"/>
  <c r="U81" i="50"/>
  <c r="T81" i="50"/>
  <c r="AB81" i="50"/>
  <c r="AD81" i="50" s="1"/>
  <c r="AE81" i="50" s="1"/>
  <c r="U77" i="50"/>
  <c r="T77" i="50"/>
  <c r="AB77" i="50"/>
  <c r="AD77" i="50" s="1"/>
  <c r="AE77" i="50" s="1"/>
  <c r="U73" i="50"/>
  <c r="T73" i="50"/>
  <c r="AB73" i="50"/>
  <c r="AD73" i="50" s="1"/>
  <c r="AE73" i="50" s="1"/>
  <c r="U69" i="50"/>
  <c r="T69" i="50"/>
  <c r="AB69" i="50"/>
  <c r="AD69" i="50" s="1"/>
  <c r="AE69" i="50" s="1"/>
  <c r="AB76" i="50"/>
  <c r="AD76" i="50" s="1"/>
  <c r="AE76" i="50" s="1"/>
  <c r="U76" i="50"/>
  <c r="T76" i="50"/>
  <c r="T65" i="50"/>
  <c r="U65" i="50"/>
  <c r="AB65" i="50"/>
  <c r="AD65" i="50" s="1"/>
  <c r="AE65" i="50" s="1"/>
  <c r="T61" i="50"/>
  <c r="AB61" i="50"/>
  <c r="AD61" i="50" s="1"/>
  <c r="AE61" i="50" s="1"/>
  <c r="U61" i="50"/>
  <c r="U113" i="50"/>
  <c r="T113" i="50"/>
  <c r="AB113" i="50"/>
  <c r="AD113" i="50" s="1"/>
  <c r="AE113" i="50" s="1"/>
  <c r="T50" i="50"/>
  <c r="AB50" i="50"/>
  <c r="AD50" i="50" s="1"/>
  <c r="AE50" i="50" s="1"/>
  <c r="U50" i="50"/>
  <c r="T48" i="50"/>
  <c r="AB48" i="50"/>
  <c r="AD48" i="50" s="1"/>
  <c r="AE48" i="50" s="1"/>
  <c r="U48" i="50"/>
  <c r="T46" i="50"/>
  <c r="AB46" i="50"/>
  <c r="AD46" i="50" s="1"/>
  <c r="AE46" i="50" s="1"/>
  <c r="U46" i="50"/>
  <c r="T44" i="50"/>
  <c r="AB44" i="50"/>
  <c r="AD44" i="50" s="1"/>
  <c r="AE44" i="50" s="1"/>
  <c r="U44" i="50"/>
  <c r="T42" i="50"/>
  <c r="AB42" i="50"/>
  <c r="AD42" i="50" s="1"/>
  <c r="AE42" i="50" s="1"/>
  <c r="U42" i="50"/>
  <c r="T40" i="50"/>
  <c r="AB40" i="50"/>
  <c r="AD40" i="50" s="1"/>
  <c r="AE40" i="50" s="1"/>
  <c r="U40" i="50"/>
  <c r="AB34" i="50"/>
  <c r="AD34" i="50" s="1"/>
  <c r="AE34" i="50" s="1"/>
  <c r="U34" i="50"/>
  <c r="T34" i="50"/>
  <c r="AB16" i="50"/>
  <c r="AD16" i="50" s="1"/>
  <c r="AE16" i="50" s="1"/>
  <c r="U16" i="50"/>
  <c r="T16" i="50"/>
  <c r="AB8" i="50"/>
  <c r="AD8" i="50" s="1"/>
  <c r="AE8" i="50" s="1"/>
  <c r="U8" i="50"/>
  <c r="T8" i="50"/>
  <c r="AB144" i="50"/>
  <c r="AD144" i="50" s="1"/>
  <c r="AE144" i="50" s="1"/>
  <c r="U144" i="50"/>
  <c r="T144" i="50"/>
  <c r="AB125" i="50"/>
  <c r="AD125" i="50" s="1"/>
  <c r="AE125" i="50" s="1"/>
  <c r="U125" i="50"/>
  <c r="T125" i="50"/>
  <c r="T107" i="50"/>
  <c r="AB107" i="50"/>
  <c r="AD107" i="50" s="1"/>
  <c r="AE107" i="50" s="1"/>
  <c r="U107" i="50"/>
  <c r="T103" i="50"/>
  <c r="U103" i="50"/>
  <c r="AB103" i="50"/>
  <c r="AD103" i="50" s="1"/>
  <c r="AE103" i="50" s="1"/>
  <c r="U91" i="50"/>
  <c r="T91" i="50"/>
  <c r="AB91" i="50"/>
  <c r="AD91" i="50" s="1"/>
  <c r="AE91" i="50" s="1"/>
  <c r="U75" i="50"/>
  <c r="T75" i="50"/>
  <c r="AB75" i="50"/>
  <c r="AD75" i="50" s="1"/>
  <c r="AE75" i="50" s="1"/>
  <c r="T63" i="50"/>
  <c r="AB63" i="50"/>
  <c r="AD63" i="50" s="1"/>
  <c r="AE63" i="50" s="1"/>
  <c r="U63" i="50"/>
  <c r="AB12" i="50"/>
  <c r="AD12" i="50" s="1"/>
  <c r="AE12" i="50" s="1"/>
  <c r="U12" i="50"/>
  <c r="T12" i="50"/>
  <c r="AB26" i="50"/>
  <c r="AD26" i="50" s="1"/>
  <c r="AE26" i="50" s="1"/>
  <c r="U26" i="50"/>
  <c r="T26" i="50"/>
  <c r="AB22" i="50"/>
  <c r="AD22" i="50" s="1"/>
  <c r="AE22" i="50" s="1"/>
  <c r="U22" i="50"/>
  <c r="T22" i="50"/>
  <c r="AB139" i="50"/>
  <c r="AD139" i="50" s="1"/>
  <c r="AE139" i="50" s="1"/>
  <c r="U139" i="50"/>
  <c r="T139" i="50"/>
  <c r="AB133" i="50"/>
  <c r="AD133" i="50" s="1"/>
  <c r="AE133" i="50" s="1"/>
  <c r="U133" i="50"/>
  <c r="T133" i="50"/>
  <c r="T142" i="50"/>
  <c r="U142" i="50"/>
  <c r="AB142" i="50"/>
  <c r="AD142" i="50" s="1"/>
  <c r="AE142" i="50" s="1"/>
  <c r="U151" i="50"/>
  <c r="T151" i="50"/>
  <c r="AB151" i="50"/>
  <c r="AD151" i="50" s="1"/>
  <c r="AE151" i="50" s="1"/>
  <c r="AB102" i="50"/>
  <c r="AD102" i="50" s="1"/>
  <c r="AE102" i="50" s="1"/>
  <c r="U102" i="50"/>
  <c r="T102" i="50"/>
  <c r="U99" i="50"/>
  <c r="T99" i="50"/>
  <c r="AB99" i="50"/>
  <c r="AD99" i="50" s="1"/>
  <c r="AE99" i="50" s="1"/>
  <c r="AB84" i="50"/>
  <c r="AD84" i="50" s="1"/>
  <c r="AE84" i="50" s="1"/>
  <c r="U84" i="50"/>
  <c r="T84" i="50"/>
  <c r="AB66" i="50"/>
  <c r="AD66" i="50" s="1"/>
  <c r="AE66" i="50" s="1"/>
  <c r="U66" i="50"/>
  <c r="T66" i="50"/>
  <c r="AB39" i="50"/>
  <c r="AD39" i="50" s="1"/>
  <c r="AE39" i="50" s="1"/>
  <c r="U39" i="50"/>
  <c r="T39" i="50"/>
  <c r="AB10" i="50"/>
  <c r="AD10" i="50" s="1"/>
  <c r="AE10" i="50" s="1"/>
  <c r="U10" i="50"/>
  <c r="T10" i="50"/>
  <c r="W108" i="50" l="1"/>
  <c r="X108" i="50" s="1"/>
  <c r="Z108" i="50" s="1"/>
  <c r="W136" i="50"/>
  <c r="X136" i="50" s="1"/>
  <c r="Z136" i="50" s="1"/>
  <c r="W37" i="50"/>
  <c r="X37" i="50" s="1"/>
  <c r="Z37" i="50" s="1"/>
  <c r="W127" i="50"/>
  <c r="X127" i="50" s="1"/>
  <c r="Z127" i="50" s="1"/>
  <c r="W58" i="50"/>
  <c r="X58" i="50" s="1"/>
  <c r="Z58" i="50" s="1"/>
  <c r="W129" i="50"/>
  <c r="X129" i="50" s="1"/>
  <c r="Z129" i="50" s="1"/>
  <c r="W28" i="50"/>
  <c r="X28" i="50" s="1"/>
  <c r="Z28" i="50" s="1"/>
  <c r="W55" i="50"/>
  <c r="X55" i="50" s="1"/>
  <c r="Z55" i="50" s="1"/>
  <c r="W59" i="50"/>
  <c r="X59" i="50" s="1"/>
  <c r="Z59" i="50" s="1"/>
  <c r="W121" i="50"/>
  <c r="X121" i="50" s="1"/>
  <c r="Z121" i="50" s="1"/>
  <c r="W132" i="50"/>
  <c r="X132" i="50" s="1"/>
  <c r="Z132" i="50" s="1"/>
  <c r="W79" i="50"/>
  <c r="X79" i="50" s="1"/>
  <c r="Z79" i="50" s="1"/>
  <c r="W148" i="50"/>
  <c r="X148" i="50" s="1"/>
  <c r="Z148" i="50" s="1"/>
  <c r="W123" i="50"/>
  <c r="X123" i="50" s="1"/>
  <c r="Z123" i="50" s="1"/>
  <c r="W31" i="50"/>
  <c r="X31" i="50" s="1"/>
  <c r="Z31" i="50" s="1"/>
  <c r="J152" i="50"/>
  <c r="J157" i="50" s="1"/>
  <c r="W83" i="50"/>
  <c r="X83" i="50" s="1"/>
  <c r="Z83" i="50" s="1"/>
  <c r="W150" i="50"/>
  <c r="X150" i="50" s="1"/>
  <c r="Z150" i="50" s="1"/>
  <c r="W71" i="50"/>
  <c r="X71" i="50" s="1"/>
  <c r="Z71" i="50" s="1"/>
  <c r="W87" i="50"/>
  <c r="X87" i="50" s="1"/>
  <c r="Z87" i="50" s="1"/>
  <c r="W113" i="50"/>
  <c r="X113" i="50" s="1"/>
  <c r="Z113" i="50" s="1"/>
  <c r="W118" i="50"/>
  <c r="X118" i="50" s="1"/>
  <c r="Z118" i="50" s="1"/>
  <c r="W23" i="50"/>
  <c r="X23" i="50" s="1"/>
  <c r="Z23" i="50" s="1"/>
  <c r="W142" i="50"/>
  <c r="X142" i="50" s="1"/>
  <c r="Z142" i="50" s="1"/>
  <c r="W52" i="50"/>
  <c r="X52" i="50" s="1"/>
  <c r="Z52" i="50" s="1"/>
  <c r="W105" i="50"/>
  <c r="X105" i="50" s="1"/>
  <c r="Z105" i="50" s="1"/>
  <c r="W9" i="50"/>
  <c r="X9" i="50" s="1"/>
  <c r="Z9" i="50" s="1"/>
  <c r="W13" i="50"/>
  <c r="X13" i="50" s="1"/>
  <c r="Z13" i="50" s="1"/>
  <c r="W17" i="50"/>
  <c r="X17" i="50" s="1"/>
  <c r="Z17" i="50" s="1"/>
  <c r="W21" i="50"/>
  <c r="X21" i="50" s="1"/>
  <c r="Z21" i="50" s="1"/>
  <c r="W25" i="50"/>
  <c r="X25" i="50" s="1"/>
  <c r="Z25" i="50" s="1"/>
  <c r="W32" i="50"/>
  <c r="X32" i="50" s="1"/>
  <c r="Z32" i="50" s="1"/>
  <c r="W18" i="50"/>
  <c r="X18" i="50" s="1"/>
  <c r="Z18" i="50" s="1"/>
  <c r="W75" i="50"/>
  <c r="X75" i="50" s="1"/>
  <c r="Z75" i="50" s="1"/>
  <c r="W109" i="50"/>
  <c r="X109" i="50" s="1"/>
  <c r="Z109" i="50" s="1"/>
  <c r="W70" i="50"/>
  <c r="X70" i="50" s="1"/>
  <c r="Z70" i="50" s="1"/>
  <c r="W100" i="50"/>
  <c r="X100" i="50" s="1"/>
  <c r="Z100" i="50" s="1"/>
  <c r="W67" i="50"/>
  <c r="X67" i="50" s="1"/>
  <c r="Z67" i="50" s="1"/>
  <c r="W143" i="50"/>
  <c r="X143" i="50" s="1"/>
  <c r="Z143" i="50" s="1"/>
  <c r="W44" i="50"/>
  <c r="X44" i="50" s="1"/>
  <c r="Z44" i="50" s="1"/>
  <c r="W147" i="50"/>
  <c r="X147" i="50" s="1"/>
  <c r="Z147" i="50" s="1"/>
  <c r="W53" i="50"/>
  <c r="X53" i="50" s="1"/>
  <c r="Z53" i="50" s="1"/>
  <c r="W30" i="50"/>
  <c r="X30" i="50" s="1"/>
  <c r="Z30" i="50" s="1"/>
  <c r="W146" i="50"/>
  <c r="X146" i="50" s="1"/>
  <c r="Z146" i="50" s="1"/>
  <c r="W101" i="50"/>
  <c r="X101" i="50" s="1"/>
  <c r="Z101" i="50" s="1"/>
  <c r="W15" i="50"/>
  <c r="X15" i="50" s="1"/>
  <c r="Z15" i="50" s="1"/>
  <c r="W122" i="50"/>
  <c r="X122" i="50" s="1"/>
  <c r="Z122" i="50" s="1"/>
  <c r="W73" i="50"/>
  <c r="X73" i="50" s="1"/>
  <c r="Z73" i="50" s="1"/>
  <c r="W89" i="50"/>
  <c r="X89" i="50" s="1"/>
  <c r="Z89" i="50" s="1"/>
  <c r="W112" i="50"/>
  <c r="X112" i="50" s="1"/>
  <c r="Z112" i="50" s="1"/>
  <c r="W60" i="50"/>
  <c r="X60" i="50" s="1"/>
  <c r="Z60" i="50" s="1"/>
  <c r="W134" i="50"/>
  <c r="X134" i="50" s="1"/>
  <c r="Z134" i="50" s="1"/>
  <c r="W57" i="50"/>
  <c r="X57" i="50" s="1"/>
  <c r="Z57" i="50" s="1"/>
  <c r="W140" i="50"/>
  <c r="X140" i="50" s="1"/>
  <c r="Z140" i="50" s="1"/>
  <c r="W111" i="50"/>
  <c r="X111" i="50" s="1"/>
  <c r="Z111" i="50" s="1"/>
  <c r="W130" i="50"/>
  <c r="X130" i="50" s="1"/>
  <c r="Z130" i="50" s="1"/>
  <c r="W7" i="50"/>
  <c r="X7" i="50" s="1"/>
  <c r="Z7" i="50" s="1"/>
  <c r="W145" i="50"/>
  <c r="X145" i="50" s="1"/>
  <c r="Z145" i="50" s="1"/>
  <c r="W90" i="50"/>
  <c r="X90" i="50" s="1"/>
  <c r="Z90" i="50" s="1"/>
  <c r="W39" i="50"/>
  <c r="X39" i="50" s="1"/>
  <c r="Z39" i="50" s="1"/>
  <c r="W103" i="50"/>
  <c r="X103" i="50" s="1"/>
  <c r="Z103" i="50" s="1"/>
  <c r="W107" i="50"/>
  <c r="X107" i="50" s="1"/>
  <c r="Z107" i="50" s="1"/>
  <c r="W92" i="50"/>
  <c r="X92" i="50" s="1"/>
  <c r="Z92" i="50" s="1"/>
  <c r="W20" i="50"/>
  <c r="X20" i="50" s="1"/>
  <c r="Z20" i="50" s="1"/>
  <c r="W138" i="50"/>
  <c r="X138" i="50" s="1"/>
  <c r="Z138" i="50" s="1"/>
  <c r="W95" i="50"/>
  <c r="X95" i="50" s="1"/>
  <c r="Z95" i="50" s="1"/>
  <c r="W80" i="50"/>
  <c r="X80" i="50" s="1"/>
  <c r="Z80" i="50" s="1"/>
  <c r="W88" i="50"/>
  <c r="X88" i="50" s="1"/>
  <c r="Z88" i="50" s="1"/>
  <c r="W65" i="50"/>
  <c r="X65" i="50" s="1"/>
  <c r="Z65" i="50" s="1"/>
  <c r="W99" i="50"/>
  <c r="X99" i="50" s="1"/>
  <c r="Z99" i="50" s="1"/>
  <c r="W139" i="50"/>
  <c r="X139" i="50" s="1"/>
  <c r="Z139" i="50" s="1"/>
  <c r="W63" i="50"/>
  <c r="X63" i="50" s="1"/>
  <c r="Z63" i="50" s="1"/>
  <c r="W125" i="50"/>
  <c r="X125" i="50" s="1"/>
  <c r="Z125" i="50" s="1"/>
  <c r="W144" i="50"/>
  <c r="X144" i="50" s="1"/>
  <c r="Z144" i="50" s="1"/>
  <c r="W81" i="50"/>
  <c r="X81" i="50" s="1"/>
  <c r="Z81" i="50" s="1"/>
  <c r="W97" i="50"/>
  <c r="X97" i="50" s="1"/>
  <c r="Z97" i="50" s="1"/>
  <c r="W19" i="50"/>
  <c r="X19" i="50" s="1"/>
  <c r="Z19" i="50" s="1"/>
  <c r="W116" i="50"/>
  <c r="X116" i="50" s="1"/>
  <c r="Z116" i="50" s="1"/>
  <c r="W54" i="50"/>
  <c r="X54" i="50" s="1"/>
  <c r="Z54" i="50" s="1"/>
  <c r="W34" i="50"/>
  <c r="X34" i="50" s="1"/>
  <c r="Z34" i="50" s="1"/>
  <c r="W50" i="50"/>
  <c r="X50" i="50" s="1"/>
  <c r="Z50" i="50" s="1"/>
  <c r="W61" i="50"/>
  <c r="X61" i="50" s="1"/>
  <c r="Z61" i="50" s="1"/>
  <c r="W69" i="50"/>
  <c r="X69" i="50" s="1"/>
  <c r="Z69" i="50" s="1"/>
  <c r="W85" i="50"/>
  <c r="X85" i="50" s="1"/>
  <c r="Z85" i="50" s="1"/>
  <c r="W14" i="50"/>
  <c r="X14" i="50" s="1"/>
  <c r="Z14" i="50" s="1"/>
  <c r="W43" i="50"/>
  <c r="X43" i="50" s="1"/>
  <c r="Z43" i="50" s="1"/>
  <c r="W86" i="50"/>
  <c r="X86" i="50" s="1"/>
  <c r="Z86" i="50" s="1"/>
  <c r="W68" i="50"/>
  <c r="X68" i="50" s="1"/>
  <c r="Z68" i="50" s="1"/>
  <c r="W98" i="50"/>
  <c r="X98" i="50" s="1"/>
  <c r="Z98" i="50" s="1"/>
  <c r="W62" i="50"/>
  <c r="X62" i="50" s="1"/>
  <c r="Z62" i="50" s="1"/>
  <c r="W64" i="50"/>
  <c r="X64" i="50" s="1"/>
  <c r="Z64" i="50" s="1"/>
  <c r="W126" i="50"/>
  <c r="X126" i="50" s="1"/>
  <c r="Z126" i="50" s="1"/>
  <c r="W42" i="50"/>
  <c r="X42" i="50" s="1"/>
  <c r="Z42" i="50" s="1"/>
  <c r="W46" i="50"/>
  <c r="X46" i="50" s="1"/>
  <c r="Z46" i="50" s="1"/>
  <c r="W48" i="50"/>
  <c r="X48" i="50" s="1"/>
  <c r="Z48" i="50" s="1"/>
  <c r="W29" i="50"/>
  <c r="X29" i="50" s="1"/>
  <c r="Z29" i="50" s="1"/>
  <c r="W115" i="50"/>
  <c r="X115" i="50" s="1"/>
  <c r="Z115" i="50" s="1"/>
  <c r="W36" i="50"/>
  <c r="X36" i="50" s="1"/>
  <c r="Z36" i="50" s="1"/>
  <c r="W117" i="50"/>
  <c r="X117" i="50" s="1"/>
  <c r="Z117" i="50" s="1"/>
  <c r="W72" i="50"/>
  <c r="X72" i="50" s="1"/>
  <c r="Z72" i="50" s="1"/>
  <c r="W96" i="50"/>
  <c r="X96" i="50" s="1"/>
  <c r="Z96" i="50" s="1"/>
  <c r="W124" i="50"/>
  <c r="X124" i="50" s="1"/>
  <c r="Z124" i="50" s="1"/>
  <c r="W33" i="50"/>
  <c r="X33" i="50" s="1"/>
  <c r="Z33" i="50" s="1"/>
  <c r="W91" i="50"/>
  <c r="X91" i="50" s="1"/>
  <c r="Z91" i="50" s="1"/>
  <c r="W40" i="50"/>
  <c r="X40" i="50" s="1"/>
  <c r="Z40" i="50" s="1"/>
  <c r="W77" i="50"/>
  <c r="X77" i="50" s="1"/>
  <c r="Z77" i="50" s="1"/>
  <c r="W93" i="50"/>
  <c r="X93" i="50" s="1"/>
  <c r="Z93" i="50" s="1"/>
  <c r="W11" i="50"/>
  <c r="X11" i="50" s="1"/>
  <c r="Z11" i="50" s="1"/>
  <c r="W47" i="50"/>
  <c r="X47" i="50" s="1"/>
  <c r="Z47" i="50" s="1"/>
  <c r="W56" i="50"/>
  <c r="X56" i="50" s="1"/>
  <c r="Z56" i="50" s="1"/>
  <c r="W119" i="50"/>
  <c r="X119" i="50" s="1"/>
  <c r="Z119" i="50" s="1"/>
  <c r="W74" i="50"/>
  <c r="X74" i="50" s="1"/>
  <c r="Z74" i="50" s="1"/>
  <c r="W82" i="50"/>
  <c r="X82" i="50" s="1"/>
  <c r="Z82" i="50" s="1"/>
  <c r="W137" i="50"/>
  <c r="X137" i="50" s="1"/>
  <c r="Z137" i="50" s="1"/>
  <c r="U51" i="50"/>
  <c r="U152" i="50" s="1"/>
  <c r="U157" i="50" s="1"/>
  <c r="T51" i="50"/>
  <c r="T152" i="50" s="1"/>
  <c r="T157" i="50" s="1"/>
  <c r="AB51" i="50"/>
  <c r="AD51" i="50" s="1"/>
  <c r="AE51" i="50" s="1"/>
  <c r="R152" i="50"/>
  <c r="R157" i="50" s="1"/>
  <c r="W66" i="50"/>
  <c r="X66" i="50" s="1"/>
  <c r="Z66" i="50" s="1"/>
  <c r="W22" i="50"/>
  <c r="X22" i="50" s="1"/>
  <c r="Z22" i="50" s="1"/>
  <c r="W8" i="50"/>
  <c r="X8" i="50" s="1"/>
  <c r="Z8" i="50" s="1"/>
  <c r="W104" i="50"/>
  <c r="X104" i="50" s="1"/>
  <c r="Z104" i="50" s="1"/>
  <c r="W131" i="50"/>
  <c r="X131" i="50" s="1"/>
  <c r="Z131" i="50" s="1"/>
  <c r="W6" i="50"/>
  <c r="W141" i="50"/>
  <c r="X141" i="50" s="1"/>
  <c r="Z141" i="50" s="1"/>
  <c r="W41" i="50"/>
  <c r="X41" i="50" s="1"/>
  <c r="Z41" i="50" s="1"/>
  <c r="W49" i="50"/>
  <c r="X49" i="50" s="1"/>
  <c r="Z49" i="50" s="1"/>
  <c r="W94" i="50"/>
  <c r="X94" i="50" s="1"/>
  <c r="Z94" i="50" s="1"/>
  <c r="W114" i="50"/>
  <c r="X114" i="50" s="1"/>
  <c r="Z114" i="50" s="1"/>
  <c r="W27" i="50"/>
  <c r="X27" i="50" s="1"/>
  <c r="Z27" i="50" s="1"/>
  <c r="W35" i="50"/>
  <c r="X35" i="50" s="1"/>
  <c r="Z35" i="50" s="1"/>
  <c r="AD6" i="50"/>
  <c r="W102" i="50"/>
  <c r="X102" i="50" s="1"/>
  <c r="Z102" i="50" s="1"/>
  <c r="W133" i="50"/>
  <c r="X133" i="50" s="1"/>
  <c r="Z133" i="50" s="1"/>
  <c r="W26" i="50"/>
  <c r="X26" i="50" s="1"/>
  <c r="Z26" i="50" s="1"/>
  <c r="W76" i="50"/>
  <c r="X76" i="50" s="1"/>
  <c r="Z76" i="50" s="1"/>
  <c r="W110" i="50"/>
  <c r="X110" i="50" s="1"/>
  <c r="Z110" i="50" s="1"/>
  <c r="W10" i="50"/>
  <c r="X10" i="50" s="1"/>
  <c r="Z10" i="50" s="1"/>
  <c r="AA152" i="50"/>
  <c r="W84" i="50"/>
  <c r="X84" i="50" s="1"/>
  <c r="Z84" i="50" s="1"/>
  <c r="W151" i="50"/>
  <c r="X151" i="50" s="1"/>
  <c r="Z151" i="50" s="1"/>
  <c r="W12" i="50"/>
  <c r="X12" i="50" s="1"/>
  <c r="Z12" i="50" s="1"/>
  <c r="W16" i="50"/>
  <c r="X16" i="50" s="1"/>
  <c r="Z16" i="50" s="1"/>
  <c r="W24" i="50"/>
  <c r="X24" i="50" s="1"/>
  <c r="Z24" i="50" s="1"/>
  <c r="W149" i="50"/>
  <c r="X149" i="50" s="1"/>
  <c r="Z149" i="50" s="1"/>
  <c r="W135" i="50"/>
  <c r="X135" i="50" s="1"/>
  <c r="Z135" i="50" s="1"/>
  <c r="W45" i="50"/>
  <c r="X45" i="50" s="1"/>
  <c r="Z45" i="50" s="1"/>
  <c r="W78" i="50"/>
  <c r="X78" i="50" s="1"/>
  <c r="Z78" i="50" s="1"/>
  <c r="W128" i="50"/>
  <c r="X128" i="50" s="1"/>
  <c r="Z128" i="50" s="1"/>
  <c r="AB152" i="50" l="1"/>
  <c r="W51" i="50"/>
  <c r="X51" i="50" s="1"/>
  <c r="Z51" i="50" s="1"/>
  <c r="AD152" i="50"/>
  <c r="AE6" i="50"/>
  <c r="AE152" i="50" s="1"/>
  <c r="X6" i="50"/>
  <c r="W152" i="50" l="1"/>
  <c r="X152" i="50"/>
  <c r="Z6" i="50"/>
  <c r="Z152" i="50" s="1"/>
  <c r="Z157" i="50" s="1"/>
  <c r="AE94" i="47" l="1"/>
  <c r="AE93" i="47"/>
  <c r="AE92" i="47"/>
  <c r="AE91" i="47"/>
  <c r="AE90" i="47"/>
  <c r="AE89" i="47"/>
  <c r="AE88" i="47"/>
  <c r="AE87" i="47"/>
  <c r="P94" i="47"/>
  <c r="N94" i="47"/>
  <c r="K94" i="47"/>
  <c r="J94" i="47"/>
  <c r="P93" i="47"/>
  <c r="N93" i="47"/>
  <c r="K93" i="47"/>
  <c r="J93" i="47"/>
  <c r="P92" i="47"/>
  <c r="N92" i="47"/>
  <c r="K92" i="47"/>
  <c r="J92" i="47"/>
  <c r="P91" i="47"/>
  <c r="N91" i="47"/>
  <c r="K91" i="47"/>
  <c r="J91" i="47"/>
  <c r="P90" i="47"/>
  <c r="N90" i="47"/>
  <c r="K90" i="47"/>
  <c r="J90" i="47"/>
  <c r="P89" i="47"/>
  <c r="N89" i="47"/>
  <c r="K89" i="47"/>
  <c r="J89" i="47"/>
  <c r="P88" i="47"/>
  <c r="N88" i="47"/>
  <c r="K88" i="47"/>
  <c r="J88" i="47"/>
  <c r="P87" i="47"/>
  <c r="N87" i="47"/>
  <c r="K87" i="47"/>
  <c r="J87" i="47"/>
  <c r="B92" i="47"/>
  <c r="B93" i="47" s="1"/>
  <c r="B94" i="47" s="1"/>
  <c r="B88" i="47"/>
  <c r="B89" i="47" s="1"/>
  <c r="B90" i="47" s="1"/>
  <c r="C1048149" i="47"/>
  <c r="AE249" i="47"/>
  <c r="P249" i="47"/>
  <c r="N249" i="47"/>
  <c r="K249" i="47"/>
  <c r="J249" i="47"/>
  <c r="AE248" i="47"/>
  <c r="P248" i="47"/>
  <c r="N248" i="47"/>
  <c r="K248" i="47"/>
  <c r="J248" i="47"/>
  <c r="AE247" i="47"/>
  <c r="P247" i="47"/>
  <c r="N247" i="47"/>
  <c r="K247" i="47"/>
  <c r="J247" i="47"/>
  <c r="AE246" i="47"/>
  <c r="P246" i="47"/>
  <c r="N246" i="47"/>
  <c r="K246" i="47"/>
  <c r="J246" i="47"/>
  <c r="AE245" i="47"/>
  <c r="P245" i="47"/>
  <c r="N245" i="47"/>
  <c r="K245" i="47"/>
  <c r="J245" i="47"/>
  <c r="AE244" i="47"/>
  <c r="P244" i="47"/>
  <c r="N244" i="47"/>
  <c r="K244" i="47"/>
  <c r="J244" i="47"/>
  <c r="AE243" i="47"/>
  <c r="P243" i="47"/>
  <c r="N243" i="47"/>
  <c r="K243" i="47"/>
  <c r="J243" i="47"/>
  <c r="AE242" i="47"/>
  <c r="P242" i="47"/>
  <c r="N242" i="47"/>
  <c r="K242" i="47"/>
  <c r="J242" i="47"/>
  <c r="AE241" i="47"/>
  <c r="P241" i="47"/>
  <c r="N241" i="47"/>
  <c r="K241" i="47"/>
  <c r="J241" i="47"/>
  <c r="AE240" i="47"/>
  <c r="P240" i="47"/>
  <c r="N240" i="47"/>
  <c r="K240" i="47"/>
  <c r="J240" i="47"/>
  <c r="AE239" i="47"/>
  <c r="P239" i="47"/>
  <c r="N239" i="47"/>
  <c r="K239" i="47"/>
  <c r="J239" i="47"/>
  <c r="AE238" i="47"/>
  <c r="P238" i="47"/>
  <c r="N238" i="47"/>
  <c r="K238" i="47"/>
  <c r="J238" i="47"/>
  <c r="AE237" i="47"/>
  <c r="P237" i="47"/>
  <c r="N237" i="47"/>
  <c r="K237" i="47"/>
  <c r="J237" i="47"/>
  <c r="AE236" i="47"/>
  <c r="P236" i="47"/>
  <c r="N236" i="47"/>
  <c r="K236" i="47"/>
  <c r="J236" i="47"/>
  <c r="AE235" i="47"/>
  <c r="P235" i="47"/>
  <c r="N235" i="47"/>
  <c r="K235" i="47"/>
  <c r="J235" i="47"/>
  <c r="AE234" i="47"/>
  <c r="P234" i="47"/>
  <c r="N234" i="47"/>
  <c r="K234" i="47"/>
  <c r="J234" i="47"/>
  <c r="AE233" i="47"/>
  <c r="P233" i="47"/>
  <c r="N233" i="47"/>
  <c r="K233" i="47"/>
  <c r="J233" i="47"/>
  <c r="AE232" i="47"/>
  <c r="P232" i="47"/>
  <c r="N232" i="47"/>
  <c r="K232" i="47"/>
  <c r="J232" i="47"/>
  <c r="AE231" i="47"/>
  <c r="P231" i="47"/>
  <c r="N231" i="47"/>
  <c r="K231" i="47"/>
  <c r="J231" i="47"/>
  <c r="AE230" i="47"/>
  <c r="P230" i="47"/>
  <c r="N230" i="47"/>
  <c r="K230" i="47"/>
  <c r="J230" i="47"/>
  <c r="AE229" i="47"/>
  <c r="P229" i="47"/>
  <c r="N229" i="47"/>
  <c r="K229" i="47"/>
  <c r="J229" i="47"/>
  <c r="AE228" i="47"/>
  <c r="P228" i="47"/>
  <c r="N228" i="47"/>
  <c r="K228" i="47"/>
  <c r="J228" i="47"/>
  <c r="AE227" i="47"/>
  <c r="P227" i="47"/>
  <c r="N227" i="47"/>
  <c r="K227" i="47"/>
  <c r="J227" i="47"/>
  <c r="AE226" i="47"/>
  <c r="P226" i="47"/>
  <c r="N226" i="47"/>
  <c r="K226" i="47"/>
  <c r="J226" i="47"/>
  <c r="AE225" i="47"/>
  <c r="P225" i="47"/>
  <c r="N225" i="47"/>
  <c r="K225" i="47"/>
  <c r="J225" i="47"/>
  <c r="AE224" i="47"/>
  <c r="P224" i="47"/>
  <c r="N224" i="47"/>
  <c r="K224" i="47"/>
  <c r="J224" i="47"/>
  <c r="AE223" i="47"/>
  <c r="P223" i="47"/>
  <c r="N223" i="47"/>
  <c r="K223" i="47"/>
  <c r="J223" i="47"/>
  <c r="AE222" i="47"/>
  <c r="P222" i="47"/>
  <c r="N222" i="47"/>
  <c r="K222" i="47"/>
  <c r="J222" i="47"/>
  <c r="AE221" i="47"/>
  <c r="P221" i="47"/>
  <c r="N221" i="47"/>
  <c r="K221" i="47"/>
  <c r="J221" i="47"/>
  <c r="AE220" i="47"/>
  <c r="P220" i="47"/>
  <c r="N220" i="47"/>
  <c r="K220" i="47"/>
  <c r="J220" i="47"/>
  <c r="AE219" i="47"/>
  <c r="P219" i="47"/>
  <c r="N219" i="47"/>
  <c r="K219" i="47"/>
  <c r="J219" i="47"/>
  <c r="AE218" i="47"/>
  <c r="P218" i="47"/>
  <c r="N218" i="47"/>
  <c r="K218" i="47"/>
  <c r="J218" i="47"/>
  <c r="AE217" i="47"/>
  <c r="P217" i="47"/>
  <c r="N217" i="47"/>
  <c r="K217" i="47"/>
  <c r="J217" i="47"/>
  <c r="AE216" i="47"/>
  <c r="P216" i="47"/>
  <c r="N216" i="47"/>
  <c r="K216" i="47"/>
  <c r="J216" i="47"/>
  <c r="AE215" i="47"/>
  <c r="P215" i="47"/>
  <c r="N215" i="47"/>
  <c r="K215" i="47"/>
  <c r="J215" i="47"/>
  <c r="AE214" i="47"/>
  <c r="P214" i="47"/>
  <c r="N214" i="47"/>
  <c r="K214" i="47"/>
  <c r="J214" i="47"/>
  <c r="AE213" i="47"/>
  <c r="P213" i="47"/>
  <c r="N213" i="47"/>
  <c r="K213" i="47"/>
  <c r="J213" i="47"/>
  <c r="AE212" i="47"/>
  <c r="P212" i="47"/>
  <c r="N212" i="47"/>
  <c r="K212" i="47"/>
  <c r="J212" i="47"/>
  <c r="AE211" i="47"/>
  <c r="P211" i="47"/>
  <c r="N211" i="47"/>
  <c r="K211" i="47"/>
  <c r="J211" i="47"/>
  <c r="AE210" i="47"/>
  <c r="P210" i="47"/>
  <c r="N210" i="47"/>
  <c r="K210" i="47"/>
  <c r="J210" i="47"/>
  <c r="AE209" i="47"/>
  <c r="P209" i="47"/>
  <c r="N209" i="47"/>
  <c r="K209" i="47"/>
  <c r="J209" i="47"/>
  <c r="AE208" i="47"/>
  <c r="P208" i="47"/>
  <c r="N208" i="47"/>
  <c r="K208" i="47"/>
  <c r="J208" i="47"/>
  <c r="AE207" i="47"/>
  <c r="P207" i="47"/>
  <c r="N207" i="47"/>
  <c r="K207" i="47"/>
  <c r="J207" i="47"/>
  <c r="AE206" i="47"/>
  <c r="P206" i="47"/>
  <c r="N206" i="47"/>
  <c r="K206" i="47"/>
  <c r="J206" i="47"/>
  <c r="AE205" i="47"/>
  <c r="P205" i="47"/>
  <c r="N205" i="47"/>
  <c r="K205" i="47"/>
  <c r="J205" i="47"/>
  <c r="AE204" i="47"/>
  <c r="P204" i="47"/>
  <c r="N204" i="47"/>
  <c r="K204" i="47"/>
  <c r="J204" i="47"/>
  <c r="AE203" i="47"/>
  <c r="P203" i="47"/>
  <c r="N203" i="47"/>
  <c r="K203" i="47"/>
  <c r="J203" i="47"/>
  <c r="AE202" i="47"/>
  <c r="P202" i="47"/>
  <c r="N202" i="47"/>
  <c r="K202" i="47"/>
  <c r="J202" i="47"/>
  <c r="AE201" i="47"/>
  <c r="P201" i="47"/>
  <c r="N201" i="47"/>
  <c r="K201" i="47"/>
  <c r="J201" i="47"/>
  <c r="AE200" i="47"/>
  <c r="P200" i="47"/>
  <c r="N200" i="47"/>
  <c r="K200" i="47"/>
  <c r="J200" i="47"/>
  <c r="AE199" i="47"/>
  <c r="P199" i="47"/>
  <c r="N199" i="47"/>
  <c r="K199" i="47"/>
  <c r="J199" i="47"/>
  <c r="AE198" i="47"/>
  <c r="P198" i="47"/>
  <c r="N198" i="47"/>
  <c r="K198" i="47"/>
  <c r="J198" i="47"/>
  <c r="AE197" i="47"/>
  <c r="P197" i="47"/>
  <c r="N197" i="47"/>
  <c r="K197" i="47"/>
  <c r="J197" i="47"/>
  <c r="AE196" i="47"/>
  <c r="P196" i="47"/>
  <c r="N196" i="47"/>
  <c r="K196" i="47"/>
  <c r="J196" i="47"/>
  <c r="AE195" i="47"/>
  <c r="P195" i="47"/>
  <c r="N195" i="47"/>
  <c r="K195" i="47"/>
  <c r="J195" i="47"/>
  <c r="AE194" i="47"/>
  <c r="P194" i="47"/>
  <c r="N194" i="47"/>
  <c r="K194" i="47"/>
  <c r="J194" i="47"/>
  <c r="AE193" i="47"/>
  <c r="P193" i="47"/>
  <c r="N193" i="47"/>
  <c r="K193" i="47"/>
  <c r="J193" i="47"/>
  <c r="AE192" i="47"/>
  <c r="P192" i="47"/>
  <c r="N192" i="47"/>
  <c r="K192" i="47"/>
  <c r="J192" i="47"/>
  <c r="AE191" i="47"/>
  <c r="P191" i="47"/>
  <c r="N191" i="47"/>
  <c r="K191" i="47"/>
  <c r="J191" i="47"/>
  <c r="AE190" i="47"/>
  <c r="P190" i="47"/>
  <c r="N190" i="47"/>
  <c r="K190" i="47"/>
  <c r="J190" i="47"/>
  <c r="AE189" i="47"/>
  <c r="P189" i="47"/>
  <c r="N189" i="47"/>
  <c r="K189" i="47"/>
  <c r="J189" i="47"/>
  <c r="AE188" i="47"/>
  <c r="P188" i="47"/>
  <c r="N188" i="47"/>
  <c r="K188" i="47"/>
  <c r="J188" i="47"/>
  <c r="AE187" i="47"/>
  <c r="P187" i="47"/>
  <c r="N187" i="47"/>
  <c r="K187" i="47"/>
  <c r="J187" i="47"/>
  <c r="AE186" i="47"/>
  <c r="P186" i="47"/>
  <c r="N186" i="47"/>
  <c r="K186" i="47"/>
  <c r="J186" i="47"/>
  <c r="AE185" i="47"/>
  <c r="P185" i="47"/>
  <c r="N185" i="47"/>
  <c r="K185" i="47"/>
  <c r="J185" i="47"/>
  <c r="AE184" i="47"/>
  <c r="P184" i="47"/>
  <c r="N184" i="47"/>
  <c r="K184" i="47"/>
  <c r="J184" i="47"/>
  <c r="AE183" i="47"/>
  <c r="P183" i="47"/>
  <c r="N183" i="47"/>
  <c r="K183" i="47"/>
  <c r="J183" i="47"/>
  <c r="AE182" i="47"/>
  <c r="P182" i="47"/>
  <c r="N182" i="47"/>
  <c r="K182" i="47"/>
  <c r="J182" i="47"/>
  <c r="AE181" i="47"/>
  <c r="P181" i="47"/>
  <c r="N181" i="47"/>
  <c r="K181" i="47"/>
  <c r="J181" i="47"/>
  <c r="AE180" i="47"/>
  <c r="P180" i="47"/>
  <c r="N180" i="47"/>
  <c r="K180" i="47"/>
  <c r="J180" i="47"/>
  <c r="AE179" i="47"/>
  <c r="P179" i="47"/>
  <c r="N179" i="47"/>
  <c r="K179" i="47"/>
  <c r="J179" i="47"/>
  <c r="AE178" i="47"/>
  <c r="P178" i="47"/>
  <c r="N178" i="47"/>
  <c r="K178" i="47"/>
  <c r="J178" i="47"/>
  <c r="AE177" i="47"/>
  <c r="P177" i="47"/>
  <c r="N177" i="47"/>
  <c r="K177" i="47"/>
  <c r="J177" i="47"/>
  <c r="AE176" i="47"/>
  <c r="P176" i="47"/>
  <c r="N176" i="47"/>
  <c r="K176" i="47"/>
  <c r="J176" i="47"/>
  <c r="AE175" i="47"/>
  <c r="P175" i="47"/>
  <c r="N175" i="47"/>
  <c r="K175" i="47"/>
  <c r="J175" i="47"/>
  <c r="AE174" i="47"/>
  <c r="P174" i="47"/>
  <c r="N174" i="47"/>
  <c r="K174" i="47"/>
  <c r="J174" i="47"/>
  <c r="AE173" i="47"/>
  <c r="P173" i="47"/>
  <c r="N173" i="47"/>
  <c r="K173" i="47"/>
  <c r="J173" i="47"/>
  <c r="AE172" i="47"/>
  <c r="P172" i="47"/>
  <c r="N172" i="47"/>
  <c r="K172" i="47"/>
  <c r="J172" i="47"/>
  <c r="AE171" i="47"/>
  <c r="P171" i="47"/>
  <c r="N171" i="47"/>
  <c r="K171" i="47"/>
  <c r="J171" i="47"/>
  <c r="AE170" i="47"/>
  <c r="P170" i="47"/>
  <c r="N170" i="47"/>
  <c r="K170" i="47"/>
  <c r="J170" i="47"/>
  <c r="AE169" i="47"/>
  <c r="P169" i="47"/>
  <c r="N169" i="47"/>
  <c r="K169" i="47"/>
  <c r="J169" i="47"/>
  <c r="AE168" i="47"/>
  <c r="P168" i="47"/>
  <c r="N168" i="47"/>
  <c r="K168" i="47"/>
  <c r="J168" i="47"/>
  <c r="AE167" i="47"/>
  <c r="P167" i="47"/>
  <c r="N167" i="47"/>
  <c r="K167" i="47"/>
  <c r="J167" i="47"/>
  <c r="AE166" i="47"/>
  <c r="P166" i="47"/>
  <c r="N166" i="47"/>
  <c r="K166" i="47"/>
  <c r="J166" i="47"/>
  <c r="AE165" i="47"/>
  <c r="P165" i="47"/>
  <c r="N165" i="47"/>
  <c r="K165" i="47"/>
  <c r="J165" i="47"/>
  <c r="AE164" i="47"/>
  <c r="P164" i="47"/>
  <c r="N164" i="47"/>
  <c r="K164" i="47"/>
  <c r="J164" i="47"/>
  <c r="AE163" i="47"/>
  <c r="P163" i="47"/>
  <c r="N163" i="47"/>
  <c r="K163" i="47"/>
  <c r="J163" i="47"/>
  <c r="AE162" i="47"/>
  <c r="P162" i="47"/>
  <c r="N162" i="47"/>
  <c r="K162" i="47"/>
  <c r="J162" i="47"/>
  <c r="AE161" i="47"/>
  <c r="P161" i="47"/>
  <c r="N161" i="47"/>
  <c r="K161" i="47"/>
  <c r="J161" i="47"/>
  <c r="AE160" i="47"/>
  <c r="P160" i="47"/>
  <c r="N160" i="47"/>
  <c r="K160" i="47"/>
  <c r="J160" i="47"/>
  <c r="AE159" i="47"/>
  <c r="P159" i="47"/>
  <c r="N159" i="47"/>
  <c r="K159" i="47"/>
  <c r="J159" i="47"/>
  <c r="AE158" i="47"/>
  <c r="P158" i="47"/>
  <c r="N158" i="47"/>
  <c r="K158" i="47"/>
  <c r="J158" i="47"/>
  <c r="AE157" i="47"/>
  <c r="P157" i="47"/>
  <c r="N157" i="47"/>
  <c r="K157" i="47"/>
  <c r="J157" i="47"/>
  <c r="AE156" i="47"/>
  <c r="P156" i="47"/>
  <c r="N156" i="47"/>
  <c r="K156" i="47"/>
  <c r="J156" i="47"/>
  <c r="AE155" i="47"/>
  <c r="P155" i="47"/>
  <c r="N155" i="47"/>
  <c r="K155" i="47"/>
  <c r="J155" i="47"/>
  <c r="AE154" i="47"/>
  <c r="P154" i="47"/>
  <c r="N154" i="47"/>
  <c r="K154" i="47"/>
  <c r="J154" i="47"/>
  <c r="AE153" i="47"/>
  <c r="P153" i="47"/>
  <c r="N153" i="47"/>
  <c r="K153" i="47"/>
  <c r="J153" i="47"/>
  <c r="AE152" i="47"/>
  <c r="P152" i="47"/>
  <c r="N152" i="47"/>
  <c r="K152" i="47"/>
  <c r="J152" i="47"/>
  <c r="AE151" i="47"/>
  <c r="P151" i="47"/>
  <c r="N151" i="47"/>
  <c r="K151" i="47"/>
  <c r="J151" i="47"/>
  <c r="AE150" i="47"/>
  <c r="P150" i="47"/>
  <c r="N150" i="47"/>
  <c r="K150" i="47"/>
  <c r="J150" i="47"/>
  <c r="AE149" i="47"/>
  <c r="P149" i="47"/>
  <c r="N149" i="47"/>
  <c r="K149" i="47"/>
  <c r="J149" i="47"/>
  <c r="AE148" i="47"/>
  <c r="P148" i="47"/>
  <c r="N148" i="47"/>
  <c r="K148" i="47"/>
  <c r="J148" i="47"/>
  <c r="AE147" i="47"/>
  <c r="P147" i="47"/>
  <c r="N147" i="47"/>
  <c r="K147" i="47"/>
  <c r="J147" i="47"/>
  <c r="AE146" i="47"/>
  <c r="P146" i="47"/>
  <c r="N146" i="47"/>
  <c r="K146" i="47"/>
  <c r="J146" i="47"/>
  <c r="AE145" i="47"/>
  <c r="P145" i="47"/>
  <c r="N145" i="47"/>
  <c r="K145" i="47"/>
  <c r="J145" i="47"/>
  <c r="AE144" i="47"/>
  <c r="P144" i="47"/>
  <c r="N144" i="47"/>
  <c r="K144" i="47"/>
  <c r="J144" i="47"/>
  <c r="AE143" i="47"/>
  <c r="P143" i="47"/>
  <c r="N143" i="47"/>
  <c r="K143" i="47"/>
  <c r="J143" i="47"/>
  <c r="AE142" i="47"/>
  <c r="P142" i="47"/>
  <c r="N142" i="47"/>
  <c r="K142" i="47"/>
  <c r="J142" i="47"/>
  <c r="AE141" i="47"/>
  <c r="P141" i="47"/>
  <c r="N141" i="47"/>
  <c r="K141" i="47"/>
  <c r="J141" i="47"/>
  <c r="AE140" i="47"/>
  <c r="P140" i="47"/>
  <c r="N140" i="47"/>
  <c r="K140" i="47"/>
  <c r="J140" i="47"/>
  <c r="AE139" i="47"/>
  <c r="P139" i="47"/>
  <c r="N139" i="47"/>
  <c r="K139" i="47"/>
  <c r="J139" i="47"/>
  <c r="AE138" i="47"/>
  <c r="P138" i="47"/>
  <c r="N138" i="47"/>
  <c r="K138" i="47"/>
  <c r="J138" i="47"/>
  <c r="AE137" i="47"/>
  <c r="P137" i="47"/>
  <c r="N137" i="47"/>
  <c r="K137" i="47"/>
  <c r="J137" i="47"/>
  <c r="AE136" i="47"/>
  <c r="P136" i="47"/>
  <c r="N136" i="47"/>
  <c r="K136" i="47"/>
  <c r="J136" i="47"/>
  <c r="AE135" i="47"/>
  <c r="P135" i="47"/>
  <c r="N135" i="47"/>
  <c r="K135" i="47"/>
  <c r="J135" i="47"/>
  <c r="AE134" i="47"/>
  <c r="P134" i="47"/>
  <c r="N134" i="47"/>
  <c r="K134" i="47"/>
  <c r="J134" i="47"/>
  <c r="AE133" i="47"/>
  <c r="P133" i="47"/>
  <c r="N133" i="47"/>
  <c r="K133" i="47"/>
  <c r="J133" i="47"/>
  <c r="AE132" i="47"/>
  <c r="P132" i="47"/>
  <c r="N132" i="47"/>
  <c r="K132" i="47"/>
  <c r="J132" i="47"/>
  <c r="AE131" i="47"/>
  <c r="P131" i="47"/>
  <c r="N131" i="47"/>
  <c r="K131" i="47"/>
  <c r="J131" i="47"/>
  <c r="AE130" i="47"/>
  <c r="P130" i="47"/>
  <c r="N130" i="47"/>
  <c r="K130" i="47"/>
  <c r="J130" i="47"/>
  <c r="AE129" i="47"/>
  <c r="P129" i="47"/>
  <c r="N129" i="47"/>
  <c r="K129" i="47"/>
  <c r="J129" i="47"/>
  <c r="AE128" i="47"/>
  <c r="P128" i="47"/>
  <c r="N128" i="47"/>
  <c r="K128" i="47"/>
  <c r="J128" i="47"/>
  <c r="AE127" i="47"/>
  <c r="P127" i="47"/>
  <c r="N127" i="47"/>
  <c r="K127" i="47"/>
  <c r="J127" i="47"/>
  <c r="AE126" i="47"/>
  <c r="P126" i="47"/>
  <c r="N126" i="47"/>
  <c r="K126" i="47"/>
  <c r="J126" i="47"/>
  <c r="AE125" i="47"/>
  <c r="P125" i="47"/>
  <c r="N125" i="47"/>
  <c r="K125" i="47"/>
  <c r="J125" i="47"/>
  <c r="AE124" i="47"/>
  <c r="P124" i="47"/>
  <c r="N124" i="47"/>
  <c r="K124" i="47"/>
  <c r="J124" i="47"/>
  <c r="AE123" i="47"/>
  <c r="P123" i="47"/>
  <c r="N123" i="47"/>
  <c r="K123" i="47"/>
  <c r="J123" i="47"/>
  <c r="AE122" i="47"/>
  <c r="P122" i="47"/>
  <c r="N122" i="47"/>
  <c r="K122" i="47"/>
  <c r="J122" i="47"/>
  <c r="AE121" i="47"/>
  <c r="P121" i="47"/>
  <c r="N121" i="47"/>
  <c r="K121" i="47"/>
  <c r="J121" i="47"/>
  <c r="AE120" i="47"/>
  <c r="P120" i="47"/>
  <c r="N120" i="47"/>
  <c r="K120" i="47"/>
  <c r="J120" i="47"/>
  <c r="AE119" i="47"/>
  <c r="P119" i="47"/>
  <c r="N119" i="47"/>
  <c r="K119" i="47"/>
  <c r="J119" i="47"/>
  <c r="AE118" i="47"/>
  <c r="P118" i="47"/>
  <c r="N118" i="47"/>
  <c r="K118" i="47"/>
  <c r="J118" i="47"/>
  <c r="AE117" i="47"/>
  <c r="P117" i="47"/>
  <c r="N117" i="47"/>
  <c r="K117" i="47"/>
  <c r="J117" i="47"/>
  <c r="AE116" i="47"/>
  <c r="P116" i="47"/>
  <c r="N116" i="47"/>
  <c r="K116" i="47"/>
  <c r="J116" i="47"/>
  <c r="AE115" i="47"/>
  <c r="P115" i="47"/>
  <c r="N115" i="47"/>
  <c r="K115" i="47"/>
  <c r="J115" i="47"/>
  <c r="AE114" i="47"/>
  <c r="P114" i="47"/>
  <c r="N114" i="47"/>
  <c r="K114" i="47"/>
  <c r="J114" i="47"/>
  <c r="AE113" i="47"/>
  <c r="P113" i="47"/>
  <c r="N113" i="47"/>
  <c r="K113" i="47"/>
  <c r="J113" i="47"/>
  <c r="AE112" i="47"/>
  <c r="P112" i="47"/>
  <c r="N112" i="47"/>
  <c r="K112" i="47"/>
  <c r="J112" i="47"/>
  <c r="AE111" i="47"/>
  <c r="P111" i="47"/>
  <c r="N111" i="47"/>
  <c r="K111" i="47"/>
  <c r="J111" i="47"/>
  <c r="AE110" i="47"/>
  <c r="P110" i="47"/>
  <c r="N110" i="47"/>
  <c r="K110" i="47"/>
  <c r="J110" i="47"/>
  <c r="AE109" i="47"/>
  <c r="P109" i="47"/>
  <c r="N109" i="47"/>
  <c r="K109" i="47"/>
  <c r="J109" i="47"/>
  <c r="AE108" i="47"/>
  <c r="P108" i="47"/>
  <c r="N108" i="47"/>
  <c r="K108" i="47"/>
  <c r="J108" i="47"/>
  <c r="AE107" i="47"/>
  <c r="P107" i="47"/>
  <c r="N107" i="47"/>
  <c r="K107" i="47"/>
  <c r="J107" i="47"/>
  <c r="AE106" i="47"/>
  <c r="P106" i="47"/>
  <c r="N106" i="47"/>
  <c r="K106" i="47"/>
  <c r="J106" i="47"/>
  <c r="AE105" i="47"/>
  <c r="P105" i="47"/>
  <c r="N105" i="47"/>
  <c r="K105" i="47"/>
  <c r="J105" i="47"/>
  <c r="AE104" i="47"/>
  <c r="P104" i="47"/>
  <c r="N104" i="47"/>
  <c r="K104" i="47"/>
  <c r="J104" i="47"/>
  <c r="AE103" i="47"/>
  <c r="P103" i="47"/>
  <c r="N103" i="47"/>
  <c r="K103" i="47"/>
  <c r="J103" i="47"/>
  <c r="AE102" i="47"/>
  <c r="P102" i="47"/>
  <c r="N102" i="47"/>
  <c r="K102" i="47"/>
  <c r="J102" i="47"/>
  <c r="AE101" i="47"/>
  <c r="P101" i="47"/>
  <c r="N101" i="47"/>
  <c r="K101" i="47"/>
  <c r="J101" i="47"/>
  <c r="AE100" i="47"/>
  <c r="P100" i="47"/>
  <c r="N100" i="47"/>
  <c r="K100" i="47"/>
  <c r="J100" i="47"/>
  <c r="AE99" i="47"/>
  <c r="P99" i="47"/>
  <c r="N99" i="47"/>
  <c r="K99" i="47"/>
  <c r="J99" i="47"/>
  <c r="AE98" i="47"/>
  <c r="P98" i="47"/>
  <c r="N98" i="47"/>
  <c r="K98" i="47"/>
  <c r="J98" i="47"/>
  <c r="AE97" i="47"/>
  <c r="P97" i="47"/>
  <c r="N97" i="47"/>
  <c r="K97" i="47"/>
  <c r="J97" i="47"/>
  <c r="AE96" i="47"/>
  <c r="P96" i="47"/>
  <c r="N96" i="47"/>
  <c r="K96" i="47"/>
  <c r="J96" i="47"/>
  <c r="AE95" i="47"/>
  <c r="P95" i="47"/>
  <c r="N95" i="47"/>
  <c r="K95" i="47"/>
  <c r="J95" i="47"/>
  <c r="AE86" i="47"/>
  <c r="P86" i="47"/>
  <c r="N86" i="47"/>
  <c r="K86" i="47"/>
  <c r="J86" i="47"/>
  <c r="AE85" i="47"/>
  <c r="P85" i="47"/>
  <c r="N85" i="47"/>
  <c r="K85" i="47"/>
  <c r="J85" i="47"/>
  <c r="AE84" i="47"/>
  <c r="P84" i="47"/>
  <c r="N84" i="47"/>
  <c r="K84" i="47"/>
  <c r="J84" i="47"/>
  <c r="AE83" i="47"/>
  <c r="P83" i="47"/>
  <c r="N83" i="47"/>
  <c r="K83" i="47"/>
  <c r="J83" i="47"/>
  <c r="AE82" i="47"/>
  <c r="P82" i="47"/>
  <c r="N82" i="47"/>
  <c r="K82" i="47"/>
  <c r="J82" i="47"/>
  <c r="AE81" i="47"/>
  <c r="P81" i="47"/>
  <c r="N81" i="47"/>
  <c r="K81" i="47"/>
  <c r="J81" i="47"/>
  <c r="AE80" i="47"/>
  <c r="P80" i="47"/>
  <c r="N80" i="47"/>
  <c r="K80" i="47"/>
  <c r="J80" i="47"/>
  <c r="AE79" i="47"/>
  <c r="P79" i="47"/>
  <c r="N79" i="47"/>
  <c r="K79" i="47"/>
  <c r="J79" i="47"/>
  <c r="AE78" i="47"/>
  <c r="P78" i="47"/>
  <c r="N78" i="47"/>
  <c r="K78" i="47"/>
  <c r="J78" i="47"/>
  <c r="AE77" i="47"/>
  <c r="P77" i="47"/>
  <c r="N77" i="47"/>
  <c r="K77" i="47"/>
  <c r="J77" i="47"/>
  <c r="AE76" i="47"/>
  <c r="P76" i="47"/>
  <c r="N76" i="47"/>
  <c r="K76" i="47"/>
  <c r="J76" i="47"/>
  <c r="AE75" i="47"/>
  <c r="P75" i="47"/>
  <c r="N75" i="47"/>
  <c r="K75" i="47"/>
  <c r="J75" i="47"/>
  <c r="AE74" i="47"/>
  <c r="P74" i="47"/>
  <c r="N74" i="47"/>
  <c r="K74" i="47"/>
  <c r="J74" i="47"/>
  <c r="AE73" i="47"/>
  <c r="P73" i="47"/>
  <c r="N73" i="47"/>
  <c r="K73" i="47"/>
  <c r="J73" i="47"/>
  <c r="AE72" i="47"/>
  <c r="P72" i="47"/>
  <c r="N72" i="47"/>
  <c r="K72" i="47"/>
  <c r="J72" i="47"/>
  <c r="AE71" i="47"/>
  <c r="P71" i="47"/>
  <c r="N71" i="47"/>
  <c r="K71" i="47"/>
  <c r="J71" i="47"/>
  <c r="AE70" i="47"/>
  <c r="P70" i="47"/>
  <c r="N70" i="47"/>
  <c r="K70" i="47"/>
  <c r="J70" i="47"/>
  <c r="AE69" i="47"/>
  <c r="P69" i="47"/>
  <c r="N69" i="47"/>
  <c r="K69" i="47"/>
  <c r="J69" i="47"/>
  <c r="AE68" i="47"/>
  <c r="P68" i="47"/>
  <c r="N68" i="47"/>
  <c r="K68" i="47"/>
  <c r="J68" i="47"/>
  <c r="AE67" i="47"/>
  <c r="P67" i="47"/>
  <c r="N67" i="47"/>
  <c r="K67" i="47"/>
  <c r="J67" i="47"/>
  <c r="AE66" i="47"/>
  <c r="P66" i="47"/>
  <c r="N66" i="47"/>
  <c r="K66" i="47"/>
  <c r="J66" i="47"/>
  <c r="AE65" i="47"/>
  <c r="P65" i="47"/>
  <c r="N65" i="47"/>
  <c r="K65" i="47"/>
  <c r="J65" i="47"/>
  <c r="AE64" i="47"/>
  <c r="P64" i="47"/>
  <c r="N64" i="47"/>
  <c r="K64" i="47"/>
  <c r="J64" i="47"/>
  <c r="AE63" i="47"/>
  <c r="P63" i="47"/>
  <c r="N63" i="47"/>
  <c r="K63" i="47"/>
  <c r="J63" i="47"/>
  <c r="AE62" i="47"/>
  <c r="P62" i="47"/>
  <c r="N62" i="47"/>
  <c r="K62" i="47"/>
  <c r="J62" i="47"/>
  <c r="AE61" i="47"/>
  <c r="P61" i="47"/>
  <c r="N61" i="47"/>
  <c r="K61" i="47"/>
  <c r="J61" i="47"/>
  <c r="AE60" i="47"/>
  <c r="P60" i="47"/>
  <c r="N60" i="47"/>
  <c r="K60" i="47"/>
  <c r="J60" i="47"/>
  <c r="AE59" i="47"/>
  <c r="P59" i="47"/>
  <c r="N59" i="47"/>
  <c r="K59" i="47"/>
  <c r="J59" i="47"/>
  <c r="AE58" i="47"/>
  <c r="P58" i="47"/>
  <c r="N58" i="47"/>
  <c r="K58" i="47"/>
  <c r="J58" i="47"/>
  <c r="AE57" i="47"/>
  <c r="P57" i="47"/>
  <c r="N57" i="47"/>
  <c r="K57" i="47"/>
  <c r="J57" i="47"/>
  <c r="AE56" i="47"/>
  <c r="P56" i="47"/>
  <c r="N56" i="47"/>
  <c r="K56" i="47"/>
  <c r="J56" i="47"/>
  <c r="AE55" i="47"/>
  <c r="P55" i="47"/>
  <c r="N55" i="47"/>
  <c r="K55" i="47"/>
  <c r="J55" i="47"/>
  <c r="AE54" i="47"/>
  <c r="P54" i="47"/>
  <c r="N54" i="47"/>
  <c r="K54" i="47"/>
  <c r="J54" i="47"/>
  <c r="AE53" i="47"/>
  <c r="P53" i="47"/>
  <c r="N53" i="47"/>
  <c r="K53" i="47"/>
  <c r="J53" i="47"/>
  <c r="AE52" i="47"/>
  <c r="P52" i="47"/>
  <c r="N52" i="47"/>
  <c r="K52" i="47"/>
  <c r="J52" i="47"/>
  <c r="AE51" i="47"/>
  <c r="P51" i="47"/>
  <c r="N51" i="47"/>
  <c r="K51" i="47"/>
  <c r="J51" i="47"/>
  <c r="AE50" i="47"/>
  <c r="P50" i="47"/>
  <c r="N50" i="47"/>
  <c r="K50" i="47"/>
  <c r="J50" i="47"/>
  <c r="AE49" i="47"/>
  <c r="P49" i="47"/>
  <c r="N49" i="47"/>
  <c r="K49" i="47"/>
  <c r="J49" i="47"/>
  <c r="AE48" i="47"/>
  <c r="P48" i="47"/>
  <c r="N48" i="47"/>
  <c r="K48" i="47"/>
  <c r="J48" i="47"/>
  <c r="AE47" i="47"/>
  <c r="P47" i="47"/>
  <c r="N47" i="47"/>
  <c r="K47" i="47"/>
  <c r="J47" i="47"/>
  <c r="AE46" i="47"/>
  <c r="P46" i="47"/>
  <c r="N46" i="47"/>
  <c r="K46" i="47"/>
  <c r="J46" i="47"/>
  <c r="AE45" i="47"/>
  <c r="P45" i="47"/>
  <c r="N45" i="47"/>
  <c r="K45" i="47"/>
  <c r="J45" i="47"/>
  <c r="AE44" i="47"/>
  <c r="P44" i="47"/>
  <c r="N44" i="47"/>
  <c r="K44" i="47"/>
  <c r="J44" i="47"/>
  <c r="AE43" i="47"/>
  <c r="P43" i="47"/>
  <c r="N43" i="47"/>
  <c r="K43" i="47"/>
  <c r="J43" i="47"/>
  <c r="AE42" i="47"/>
  <c r="P42" i="47"/>
  <c r="N42" i="47"/>
  <c r="K42" i="47"/>
  <c r="J42" i="47"/>
  <c r="AE41" i="47"/>
  <c r="P41" i="47"/>
  <c r="N41" i="47"/>
  <c r="K41" i="47"/>
  <c r="J41" i="47"/>
  <c r="AE40" i="47"/>
  <c r="P40" i="47"/>
  <c r="N40" i="47"/>
  <c r="K40" i="47"/>
  <c r="J40" i="47"/>
  <c r="AE39" i="47"/>
  <c r="P39" i="47"/>
  <c r="N39" i="47"/>
  <c r="K39" i="47"/>
  <c r="J39" i="47"/>
  <c r="AE38" i="47"/>
  <c r="P38" i="47"/>
  <c r="N38" i="47"/>
  <c r="K38" i="47"/>
  <c r="J38" i="47"/>
  <c r="AE37" i="47"/>
  <c r="P37" i="47"/>
  <c r="N37" i="47"/>
  <c r="K37" i="47"/>
  <c r="J37" i="47"/>
  <c r="AE36" i="47"/>
  <c r="P36" i="47"/>
  <c r="N36" i="47"/>
  <c r="K36" i="47"/>
  <c r="J36" i="47"/>
  <c r="AE35" i="47"/>
  <c r="P35" i="47"/>
  <c r="N35" i="47"/>
  <c r="K35" i="47"/>
  <c r="J35" i="47"/>
  <c r="AE34" i="47"/>
  <c r="P34" i="47"/>
  <c r="N34" i="47"/>
  <c r="K34" i="47"/>
  <c r="J34" i="47"/>
  <c r="AE33" i="47"/>
  <c r="P33" i="47"/>
  <c r="N33" i="47"/>
  <c r="K33" i="47"/>
  <c r="J33" i="47"/>
  <c r="AE32" i="47"/>
  <c r="P32" i="47"/>
  <c r="N32" i="47"/>
  <c r="K32" i="47"/>
  <c r="J32" i="47"/>
  <c r="AE31" i="47"/>
  <c r="P31" i="47"/>
  <c r="N31" i="47"/>
  <c r="K31" i="47"/>
  <c r="J31" i="47"/>
  <c r="AE30" i="47"/>
  <c r="P30" i="47"/>
  <c r="N30" i="47"/>
  <c r="K30" i="47"/>
  <c r="J30" i="47"/>
  <c r="AE29" i="47"/>
  <c r="P29" i="47"/>
  <c r="N29" i="47"/>
  <c r="K29" i="47"/>
  <c r="J29" i="47"/>
  <c r="AE28" i="47"/>
  <c r="P28" i="47"/>
  <c r="N28" i="47"/>
  <c r="K28" i="47"/>
  <c r="J28" i="47"/>
  <c r="AE27" i="47"/>
  <c r="P27" i="47"/>
  <c r="N27" i="47"/>
  <c r="K27" i="47"/>
  <c r="J27" i="47"/>
  <c r="AE26" i="47"/>
  <c r="P26" i="47"/>
  <c r="N26" i="47"/>
  <c r="K26" i="47"/>
  <c r="J26" i="47"/>
  <c r="AE25" i="47"/>
  <c r="P25" i="47"/>
  <c r="N25" i="47"/>
  <c r="K25" i="47"/>
  <c r="J25" i="47"/>
  <c r="AE24" i="47"/>
  <c r="P24" i="47"/>
  <c r="N24" i="47"/>
  <c r="K24" i="47"/>
  <c r="J24" i="47"/>
  <c r="AE23" i="47"/>
  <c r="P23" i="47"/>
  <c r="N23" i="47"/>
  <c r="K23" i="47"/>
  <c r="J23" i="47"/>
  <c r="AE22" i="47"/>
  <c r="P22" i="47"/>
  <c r="N22" i="47"/>
  <c r="K22" i="47"/>
  <c r="J22" i="47"/>
  <c r="AE21" i="47"/>
  <c r="P21" i="47"/>
  <c r="N21" i="47"/>
  <c r="K21" i="47"/>
  <c r="J21" i="47"/>
  <c r="AE20" i="47"/>
  <c r="P20" i="47"/>
  <c r="N20" i="47"/>
  <c r="K20" i="47"/>
  <c r="J20" i="47"/>
  <c r="AE19" i="47"/>
  <c r="P19" i="47"/>
  <c r="N19" i="47"/>
  <c r="K19" i="47"/>
  <c r="J19" i="47"/>
  <c r="AE18" i="47"/>
  <c r="P18" i="47"/>
  <c r="N18" i="47"/>
  <c r="K18" i="47"/>
  <c r="J18" i="47"/>
  <c r="AE17" i="47"/>
  <c r="P17" i="47"/>
  <c r="N17" i="47"/>
  <c r="K17" i="47"/>
  <c r="J17" i="47"/>
  <c r="AE16" i="47"/>
  <c r="P16" i="47"/>
  <c r="N16" i="47"/>
  <c r="K16" i="47"/>
  <c r="J16" i="47"/>
  <c r="AE15" i="47"/>
  <c r="P15" i="47"/>
  <c r="N15" i="47"/>
  <c r="K15" i="47"/>
  <c r="J15" i="47"/>
  <c r="AE14" i="47"/>
  <c r="P14" i="47"/>
  <c r="N14" i="47"/>
  <c r="K14" i="47"/>
  <c r="J14" i="47"/>
  <c r="AE13" i="47"/>
  <c r="P13" i="47"/>
  <c r="N13" i="47"/>
  <c r="K13" i="47"/>
  <c r="J13" i="47"/>
  <c r="AE12" i="47"/>
  <c r="P12" i="47"/>
  <c r="N12" i="47"/>
  <c r="K12" i="47"/>
  <c r="J12" i="47"/>
  <c r="AE11" i="47"/>
  <c r="P11" i="47"/>
  <c r="N11" i="47"/>
  <c r="K11" i="47"/>
  <c r="J11" i="47"/>
  <c r="AE10" i="47"/>
  <c r="P10" i="47"/>
  <c r="N10" i="47"/>
  <c r="K10" i="47"/>
  <c r="J10" i="47"/>
  <c r="AE9" i="47"/>
  <c r="P9" i="47"/>
  <c r="N9" i="47"/>
  <c r="K9" i="47"/>
  <c r="J9" i="47"/>
  <c r="AE8" i="47"/>
  <c r="P8" i="47"/>
  <c r="N8" i="47"/>
  <c r="K8" i="47"/>
  <c r="J8" i="47"/>
  <c r="AE7" i="47"/>
  <c r="P7" i="47"/>
  <c r="N7" i="47"/>
  <c r="K7" i="47"/>
  <c r="J7" i="47"/>
  <c r="B7" i="47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AE6" i="47"/>
  <c r="P6" i="47"/>
  <c r="N6" i="47"/>
  <c r="K6" i="47"/>
  <c r="J6" i="47"/>
  <c r="AE258" i="47" l="1"/>
  <c r="K258" i="47"/>
  <c r="K262" i="47" s="1"/>
  <c r="J258" i="47"/>
  <c r="J262" i="47" s="1"/>
  <c r="N258" i="47"/>
  <c r="N262" i="47" s="1"/>
  <c r="P258" i="47"/>
  <c r="P262" i="47" s="1"/>
  <c r="AC121" i="47"/>
  <c r="AC123" i="47"/>
  <c r="AC127" i="47"/>
  <c r="AC131" i="47"/>
  <c r="AC145" i="47"/>
  <c r="L152" i="47"/>
  <c r="T152" i="47" s="1"/>
  <c r="V152" i="47" s="1"/>
  <c r="L182" i="47"/>
  <c r="T182" i="47" s="1"/>
  <c r="U136" i="47"/>
  <c r="U173" i="47"/>
  <c r="AC15" i="47"/>
  <c r="U155" i="47"/>
  <c r="AC156" i="47"/>
  <c r="U158" i="47"/>
  <c r="AC197" i="47"/>
  <c r="U119" i="47"/>
  <c r="AC133" i="47"/>
  <c r="U139" i="47"/>
  <c r="AC140" i="47"/>
  <c r="AC147" i="47"/>
  <c r="L169" i="47"/>
  <c r="T169" i="47" s="1"/>
  <c r="AC174" i="47"/>
  <c r="U176" i="47"/>
  <c r="U179" i="47"/>
  <c r="AC87" i="47"/>
  <c r="U247" i="47"/>
  <c r="U14" i="47"/>
  <c r="AC180" i="47"/>
  <c r="AC191" i="47"/>
  <c r="U23" i="47"/>
  <c r="AC135" i="47"/>
  <c r="U30" i="47"/>
  <c r="AC122" i="47"/>
  <c r="U132" i="47"/>
  <c r="AC143" i="47"/>
  <c r="U146" i="47"/>
  <c r="U149" i="47"/>
  <c r="U249" i="47"/>
  <c r="L120" i="47"/>
  <c r="T120" i="47" s="1"/>
  <c r="V120" i="47" s="1"/>
  <c r="AC88" i="47"/>
  <c r="U89" i="47"/>
  <c r="U90" i="47"/>
  <c r="AC91" i="47"/>
  <c r="AC92" i="47"/>
  <c r="U93" i="47"/>
  <c r="U94" i="47"/>
  <c r="U36" i="47"/>
  <c r="AC39" i="47"/>
  <c r="AC51" i="47"/>
  <c r="AC55" i="47"/>
  <c r="L58" i="47"/>
  <c r="T58" i="47" s="1"/>
  <c r="U52" i="47"/>
  <c r="U56" i="47"/>
  <c r="AC59" i="47"/>
  <c r="AC63" i="47"/>
  <c r="AC66" i="47"/>
  <c r="AC70" i="47"/>
  <c r="AC74" i="47"/>
  <c r="AC80" i="47"/>
  <c r="AC83" i="47"/>
  <c r="AC109" i="47"/>
  <c r="AC114" i="47"/>
  <c r="L128" i="47"/>
  <c r="T128" i="47" s="1"/>
  <c r="U160" i="47"/>
  <c r="U187" i="47"/>
  <c r="AC190" i="47"/>
  <c r="U193" i="47"/>
  <c r="L194" i="47"/>
  <c r="T194" i="47" s="1"/>
  <c r="L202" i="47"/>
  <c r="T202" i="47" s="1"/>
  <c r="AD202" i="47" s="1"/>
  <c r="AC206" i="47"/>
  <c r="U219" i="47"/>
  <c r="U222" i="47"/>
  <c r="AC233" i="47"/>
  <c r="AC237" i="47"/>
  <c r="AC240" i="47"/>
  <c r="U87" i="47"/>
  <c r="AC89" i="47"/>
  <c r="U91" i="47"/>
  <c r="AC93" i="47"/>
  <c r="L7" i="47"/>
  <c r="T7" i="47" s="1"/>
  <c r="AD7" i="47" s="1"/>
  <c r="L11" i="47"/>
  <c r="T11" i="47" s="1"/>
  <c r="AD11" i="47" s="1"/>
  <c r="L19" i="47"/>
  <c r="T19" i="47" s="1"/>
  <c r="L23" i="47"/>
  <c r="T23" i="47" s="1"/>
  <c r="V23" i="47" s="1"/>
  <c r="U88" i="47"/>
  <c r="AC90" i="47"/>
  <c r="U92" i="47"/>
  <c r="AC94" i="47"/>
  <c r="AC78" i="47"/>
  <c r="AC81" i="47"/>
  <c r="AC97" i="47"/>
  <c r="AC101" i="47"/>
  <c r="L103" i="47"/>
  <c r="T103" i="47" s="1"/>
  <c r="U137" i="47"/>
  <c r="U141" i="47"/>
  <c r="AC158" i="47"/>
  <c r="L166" i="47"/>
  <c r="T166" i="47" s="1"/>
  <c r="L177" i="47"/>
  <c r="T177" i="47" s="1"/>
  <c r="U178" i="47"/>
  <c r="AC200" i="47"/>
  <c r="U203" i="47"/>
  <c r="AC204" i="47"/>
  <c r="U207" i="47"/>
  <c r="AC208" i="47"/>
  <c r="AC214" i="47"/>
  <c r="AC217" i="47"/>
  <c r="AC227" i="47"/>
  <c r="L228" i="47"/>
  <c r="T228" i="47" s="1"/>
  <c r="L87" i="47"/>
  <c r="T87" i="47" s="1"/>
  <c r="L88" i="47"/>
  <c r="T88" i="47" s="1"/>
  <c r="L89" i="47"/>
  <c r="T89" i="47" s="1"/>
  <c r="L90" i="47"/>
  <c r="T90" i="47" s="1"/>
  <c r="L91" i="47"/>
  <c r="T91" i="47" s="1"/>
  <c r="L92" i="47"/>
  <c r="T92" i="47" s="1"/>
  <c r="L93" i="47"/>
  <c r="T93" i="47" s="1"/>
  <c r="L94" i="47"/>
  <c r="T94" i="47" s="1"/>
  <c r="U130" i="47"/>
  <c r="AC199" i="47"/>
  <c r="AC207" i="47"/>
  <c r="AC213" i="47"/>
  <c r="U10" i="47"/>
  <c r="U18" i="47"/>
  <c r="U22" i="47"/>
  <c r="AC132" i="47"/>
  <c r="U186" i="47"/>
  <c r="U7" i="47"/>
  <c r="U11" i="47"/>
  <c r="AC19" i="47"/>
  <c r="U27" i="47"/>
  <c r="AC111" i="47"/>
  <c r="L115" i="47"/>
  <c r="T115" i="47" s="1"/>
  <c r="AC11" i="47"/>
  <c r="L116" i="47"/>
  <c r="T116" i="47" s="1"/>
  <c r="AC150" i="47"/>
  <c r="AC159" i="47"/>
  <c r="AC162" i="47"/>
  <c r="U171" i="47"/>
  <c r="AC186" i="47"/>
  <c r="L187" i="47"/>
  <c r="T187" i="47" s="1"/>
  <c r="AC216" i="47"/>
  <c r="AC8" i="47"/>
  <c r="U15" i="47"/>
  <c r="U16" i="47"/>
  <c r="U24" i="47"/>
  <c r="U28" i="47"/>
  <c r="AC29" i="47"/>
  <c r="AC33" i="47"/>
  <c r="AC36" i="47"/>
  <c r="AC40" i="47"/>
  <c r="AC44" i="47"/>
  <c r="AC48" i="47"/>
  <c r="AC52" i="47"/>
  <c r="AC56" i="47"/>
  <c r="AC58" i="47"/>
  <c r="AC65" i="47"/>
  <c r="AC69" i="47"/>
  <c r="AC73" i="47"/>
  <c r="AC77" i="47"/>
  <c r="U85" i="47"/>
  <c r="U101" i="47"/>
  <c r="L104" i="47"/>
  <c r="T104" i="47" s="1"/>
  <c r="AC105" i="47"/>
  <c r="U112" i="47"/>
  <c r="AC126" i="47"/>
  <c r="U151" i="47"/>
  <c r="AC153" i="47"/>
  <c r="U157" i="47"/>
  <c r="AC183" i="47"/>
  <c r="L186" i="47"/>
  <c r="T186" i="47" s="1"/>
  <c r="U245" i="47"/>
  <c r="AC7" i="47"/>
  <c r="AC23" i="47"/>
  <c r="U152" i="47"/>
  <c r="AC173" i="47"/>
  <c r="AC176" i="47"/>
  <c r="L180" i="47"/>
  <c r="T180" i="47" s="1"/>
  <c r="V180" i="47" s="1"/>
  <c r="U181" i="47"/>
  <c r="U205" i="47"/>
  <c r="U232" i="47"/>
  <c r="U236" i="47"/>
  <c r="U239" i="47"/>
  <c r="U243" i="47"/>
  <c r="AC6" i="47"/>
  <c r="AC12" i="47"/>
  <c r="L15" i="47"/>
  <c r="T15" i="47" s="1"/>
  <c r="U19" i="47"/>
  <c r="AC20" i="47"/>
  <c r="AC27" i="47"/>
  <c r="AC31" i="47"/>
  <c r="U59" i="47"/>
  <c r="AC100" i="47"/>
  <c r="AC103" i="47"/>
  <c r="AC107" i="47"/>
  <c r="AC146" i="47"/>
  <c r="AC152" i="47"/>
  <c r="AC155" i="47"/>
  <c r="AC179" i="47"/>
  <c r="U198" i="47"/>
  <c r="AC244" i="47"/>
  <c r="AC18" i="47"/>
  <c r="AC14" i="47"/>
  <c r="AC10" i="47"/>
  <c r="U26" i="47"/>
  <c r="AC26" i="47"/>
  <c r="AC22" i="47"/>
  <c r="AC9" i="47"/>
  <c r="AC13" i="47"/>
  <c r="AC17" i="47"/>
  <c r="AC21" i="47"/>
  <c r="AC25" i="47"/>
  <c r="U31" i="47"/>
  <c r="L39" i="47"/>
  <c r="T39" i="47" s="1"/>
  <c r="V39" i="47" s="1"/>
  <c r="U51" i="47"/>
  <c r="L55" i="47"/>
  <c r="T55" i="47" s="1"/>
  <c r="U65" i="47"/>
  <c r="U66" i="47"/>
  <c r="L69" i="47"/>
  <c r="T69" i="47" s="1"/>
  <c r="V69" i="47" s="1"/>
  <c r="U74" i="47"/>
  <c r="U100" i="47"/>
  <c r="U107" i="47"/>
  <c r="AC110" i="47"/>
  <c r="U115" i="47"/>
  <c r="AC115" i="47"/>
  <c r="U127" i="47"/>
  <c r="U131" i="47"/>
  <c r="L135" i="47"/>
  <c r="T135" i="47" s="1"/>
  <c r="U145" i="47"/>
  <c r="U164" i="47"/>
  <c r="AC168" i="47"/>
  <c r="L176" i="47"/>
  <c r="T176" i="47" s="1"/>
  <c r="U180" i="47"/>
  <c r="AC187" i="47"/>
  <c r="AC192" i="47"/>
  <c r="AC195" i="47"/>
  <c r="L197" i="47"/>
  <c r="T197" i="47" s="1"/>
  <c r="AD197" i="47" s="1"/>
  <c r="L198" i="47"/>
  <c r="T198" i="47" s="1"/>
  <c r="AD198" i="47" s="1"/>
  <c r="AC203" i="47"/>
  <c r="U238" i="47"/>
  <c r="U240" i="47"/>
  <c r="AC243" i="47"/>
  <c r="L244" i="47"/>
  <c r="T244" i="47" s="1"/>
  <c r="L27" i="47"/>
  <c r="T27" i="47" s="1"/>
  <c r="AD27" i="47" s="1"/>
  <c r="AC30" i="47"/>
  <c r="L31" i="47"/>
  <c r="T31" i="47" s="1"/>
  <c r="U33" i="47"/>
  <c r="U47" i="47"/>
  <c r="U48" i="47"/>
  <c r="L51" i="47"/>
  <c r="T51" i="47" s="1"/>
  <c r="U62" i="47"/>
  <c r="U63" i="47"/>
  <c r="L65" i="47"/>
  <c r="T65" i="47" s="1"/>
  <c r="L74" i="47"/>
  <c r="T74" i="47" s="1"/>
  <c r="AC85" i="47"/>
  <c r="U96" i="47"/>
  <c r="U97" i="47"/>
  <c r="L100" i="47"/>
  <c r="T100" i="47" s="1"/>
  <c r="L107" i="47"/>
  <c r="T107" i="47" s="1"/>
  <c r="AC117" i="47"/>
  <c r="L127" i="47"/>
  <c r="T127" i="47" s="1"/>
  <c r="L131" i="47"/>
  <c r="T131" i="47" s="1"/>
  <c r="AD131" i="47" s="1"/>
  <c r="U134" i="47"/>
  <c r="AC139" i="47"/>
  <c r="U142" i="47"/>
  <c r="L145" i="47"/>
  <c r="T145" i="47" s="1"/>
  <c r="V145" i="47" s="1"/>
  <c r="U148" i="47"/>
  <c r="AC166" i="47"/>
  <c r="U166" i="47"/>
  <c r="L179" i="47"/>
  <c r="T179" i="47" s="1"/>
  <c r="V179" i="47" s="1"/>
  <c r="U190" i="47"/>
  <c r="AC196" i="47"/>
  <c r="U206" i="47"/>
  <c r="U213" i="47"/>
  <c r="U216" i="47"/>
  <c r="U223" i="47"/>
  <c r="U237" i="47"/>
  <c r="AC239" i="47"/>
  <c r="L240" i="47"/>
  <c r="T240" i="47" s="1"/>
  <c r="AC248" i="47"/>
  <c r="U43" i="47"/>
  <c r="U44" i="47"/>
  <c r="L47" i="47"/>
  <c r="T47" i="47" s="1"/>
  <c r="AC47" i="47"/>
  <c r="U58" i="47"/>
  <c r="L62" i="47"/>
  <c r="T62" i="47" s="1"/>
  <c r="AC62" i="47"/>
  <c r="U84" i="47"/>
  <c r="L96" i="47"/>
  <c r="T96" i="47" s="1"/>
  <c r="AC96" i="47"/>
  <c r="AC99" i="47"/>
  <c r="AC104" i="47"/>
  <c r="AC106" i="47"/>
  <c r="AC108" i="47"/>
  <c r="U111" i="47"/>
  <c r="L112" i="47"/>
  <c r="T112" i="47" s="1"/>
  <c r="AC118" i="47"/>
  <c r="U120" i="47"/>
  <c r="AC136" i="47"/>
  <c r="U138" i="47"/>
  <c r="L142" i="47"/>
  <c r="T142" i="47" s="1"/>
  <c r="AC142" i="47"/>
  <c r="U144" i="47"/>
  <c r="AC149" i="47"/>
  <c r="U153" i="47"/>
  <c r="AC154" i="47"/>
  <c r="AF154" i="47" s="1"/>
  <c r="U161" i="47"/>
  <c r="AC165" i="47"/>
  <c r="U174" i="47"/>
  <c r="AC177" i="47"/>
  <c r="L190" i="47"/>
  <c r="T190" i="47" s="1"/>
  <c r="U194" i="47"/>
  <c r="U202" i="47"/>
  <c r="AC205" i="47"/>
  <c r="L206" i="47"/>
  <c r="T206" i="47" s="1"/>
  <c r="L213" i="47"/>
  <c r="T213" i="47" s="1"/>
  <c r="L216" i="47"/>
  <c r="T216" i="47" s="1"/>
  <c r="AC219" i="47"/>
  <c r="AC222" i="47"/>
  <c r="L223" i="47"/>
  <c r="T223" i="47" s="1"/>
  <c r="AC223" i="47"/>
  <c r="U233" i="47"/>
  <c r="AC236" i="47"/>
  <c r="L237" i="47"/>
  <c r="T237" i="47" s="1"/>
  <c r="U248" i="47"/>
  <c r="U39" i="47"/>
  <c r="U40" i="47"/>
  <c r="L43" i="47"/>
  <c r="T43" i="47" s="1"/>
  <c r="AC43" i="47"/>
  <c r="U55" i="47"/>
  <c r="U69" i="47"/>
  <c r="U70" i="47"/>
  <c r="L75" i="47"/>
  <c r="T75" i="47" s="1"/>
  <c r="U81" i="47"/>
  <c r="L84" i="47"/>
  <c r="T84" i="47" s="1"/>
  <c r="AC84" i="47"/>
  <c r="AC95" i="47"/>
  <c r="U103" i="47"/>
  <c r="U104" i="47"/>
  <c r="L111" i="47"/>
  <c r="T111" i="47" s="1"/>
  <c r="U116" i="47"/>
  <c r="AC119" i="47"/>
  <c r="U135" i="47"/>
  <c r="L138" i="47"/>
  <c r="T138" i="47" s="1"/>
  <c r="AC138" i="47"/>
  <c r="L161" i="47"/>
  <c r="T161" i="47" s="1"/>
  <c r="AC161" i="47"/>
  <c r="U163" i="47"/>
  <c r="L165" i="47"/>
  <c r="T165" i="47" s="1"/>
  <c r="AC167" i="47"/>
  <c r="L174" i="47"/>
  <c r="T174" i="47" s="1"/>
  <c r="U177" i="47"/>
  <c r="L193" i="47"/>
  <c r="T193" i="47" s="1"/>
  <c r="AC193" i="47"/>
  <c r="U197" i="47"/>
  <c r="U201" i="47"/>
  <c r="AC201" i="47"/>
  <c r="AC232" i="47"/>
  <c r="L233" i="47"/>
  <c r="T233" i="47" s="1"/>
  <c r="U241" i="47"/>
  <c r="U244" i="47"/>
  <c r="AC247" i="47"/>
  <c r="L248" i="47"/>
  <c r="T248" i="47" s="1"/>
  <c r="AC32" i="47"/>
  <c r="L8" i="47"/>
  <c r="T8" i="47" s="1"/>
  <c r="L12" i="47"/>
  <c r="T12" i="47" s="1"/>
  <c r="L16" i="47"/>
  <c r="T16" i="47" s="1"/>
  <c r="U20" i="47"/>
  <c r="L28" i="47"/>
  <c r="T28" i="47" s="1"/>
  <c r="L32" i="47"/>
  <c r="T32" i="47" s="1"/>
  <c r="U32" i="47"/>
  <c r="U35" i="47"/>
  <c r="L35" i="47"/>
  <c r="T35" i="47" s="1"/>
  <c r="U38" i="47"/>
  <c r="L38" i="47"/>
  <c r="T38" i="47" s="1"/>
  <c r="U42" i="47"/>
  <c r="L42" i="47"/>
  <c r="T42" i="47" s="1"/>
  <c r="U46" i="47"/>
  <c r="L46" i="47"/>
  <c r="T46" i="47" s="1"/>
  <c r="U50" i="47"/>
  <c r="L50" i="47"/>
  <c r="T50" i="47" s="1"/>
  <c r="U54" i="47"/>
  <c r="L54" i="47"/>
  <c r="T54" i="47" s="1"/>
  <c r="U61" i="47"/>
  <c r="L61" i="47"/>
  <c r="T61" i="47" s="1"/>
  <c r="U68" i="47"/>
  <c r="L68" i="47"/>
  <c r="T68" i="47" s="1"/>
  <c r="AC79" i="47"/>
  <c r="U79" i="47"/>
  <c r="L79" i="47"/>
  <c r="T79" i="47" s="1"/>
  <c r="L24" i="47"/>
  <c r="T24" i="47" s="1"/>
  <c r="U13" i="47"/>
  <c r="AC16" i="47"/>
  <c r="L17" i="47"/>
  <c r="T17" i="47" s="1"/>
  <c r="U21" i="47"/>
  <c r="AC24" i="47"/>
  <c r="L25" i="47"/>
  <c r="T25" i="47" s="1"/>
  <c r="U25" i="47"/>
  <c r="AC28" i="47"/>
  <c r="L29" i="47"/>
  <c r="T29" i="47" s="1"/>
  <c r="U29" i="47"/>
  <c r="L33" i="47"/>
  <c r="T33" i="47" s="1"/>
  <c r="L36" i="47"/>
  <c r="T36" i="47" s="1"/>
  <c r="L40" i="47"/>
  <c r="T40" i="47" s="1"/>
  <c r="L44" i="47"/>
  <c r="T44" i="47" s="1"/>
  <c r="L48" i="47"/>
  <c r="T48" i="47" s="1"/>
  <c r="L52" i="47"/>
  <c r="T52" i="47" s="1"/>
  <c r="L56" i="47"/>
  <c r="T56" i="47" s="1"/>
  <c r="L59" i="47"/>
  <c r="T59" i="47" s="1"/>
  <c r="L63" i="47"/>
  <c r="T63" i="47" s="1"/>
  <c r="L66" i="47"/>
  <c r="T66" i="47" s="1"/>
  <c r="L70" i="47"/>
  <c r="T70" i="47" s="1"/>
  <c r="U72" i="47"/>
  <c r="L72" i="47"/>
  <c r="T72" i="47" s="1"/>
  <c r="AC72" i="47"/>
  <c r="U76" i="47"/>
  <c r="L76" i="47"/>
  <c r="T76" i="47" s="1"/>
  <c r="AC76" i="47"/>
  <c r="U8" i="47"/>
  <c r="U12" i="47"/>
  <c r="L20" i="47"/>
  <c r="T20" i="47" s="1"/>
  <c r="L9" i="47"/>
  <c r="T9" i="47" s="1"/>
  <c r="U9" i="47"/>
  <c r="L13" i="47"/>
  <c r="T13" i="47" s="1"/>
  <c r="U17" i="47"/>
  <c r="L21" i="47"/>
  <c r="T21" i="47" s="1"/>
  <c r="L6" i="47"/>
  <c r="U6" i="47"/>
  <c r="L10" i="47"/>
  <c r="T10" i="47" s="1"/>
  <c r="L14" i="47"/>
  <c r="T14" i="47" s="1"/>
  <c r="L18" i="47"/>
  <c r="T18" i="47" s="1"/>
  <c r="L22" i="47"/>
  <c r="T22" i="47" s="1"/>
  <c r="L26" i="47"/>
  <c r="T26" i="47" s="1"/>
  <c r="L30" i="47"/>
  <c r="T30" i="47" s="1"/>
  <c r="AC34" i="47"/>
  <c r="U34" i="47"/>
  <c r="L34" i="47"/>
  <c r="T34" i="47" s="1"/>
  <c r="AC35" i="47"/>
  <c r="AC37" i="47"/>
  <c r="U37" i="47"/>
  <c r="L37" i="47"/>
  <c r="T37" i="47" s="1"/>
  <c r="AC38" i="47"/>
  <c r="AC41" i="47"/>
  <c r="U41" i="47"/>
  <c r="L41" i="47"/>
  <c r="T41" i="47" s="1"/>
  <c r="AC42" i="47"/>
  <c r="AC45" i="47"/>
  <c r="U45" i="47"/>
  <c r="L45" i="47"/>
  <c r="T45" i="47" s="1"/>
  <c r="AC46" i="47"/>
  <c r="AC49" i="47"/>
  <c r="U49" i="47"/>
  <c r="L49" i="47"/>
  <c r="T49" i="47" s="1"/>
  <c r="AC50" i="47"/>
  <c r="AC53" i="47"/>
  <c r="U53" i="47"/>
  <c r="L53" i="47"/>
  <c r="T53" i="47" s="1"/>
  <c r="AC54" i="47"/>
  <c r="AC57" i="47"/>
  <c r="U57" i="47"/>
  <c r="L57" i="47"/>
  <c r="T57" i="47" s="1"/>
  <c r="AC60" i="47"/>
  <c r="U60" i="47"/>
  <c r="L60" i="47"/>
  <c r="T60" i="47" s="1"/>
  <c r="AC61" i="47"/>
  <c r="AC64" i="47"/>
  <c r="U64" i="47"/>
  <c r="L64" i="47"/>
  <c r="T64" i="47" s="1"/>
  <c r="AC67" i="47"/>
  <c r="U67" i="47"/>
  <c r="L67" i="47"/>
  <c r="AC68" i="47"/>
  <c r="AC71" i="47"/>
  <c r="AC75" i="47"/>
  <c r="L73" i="47"/>
  <c r="T73" i="47" s="1"/>
  <c r="U73" i="47"/>
  <c r="L77" i="47"/>
  <c r="T77" i="47" s="1"/>
  <c r="U77" i="47"/>
  <c r="L78" i="47"/>
  <c r="T78" i="47" s="1"/>
  <c r="U78" i="47"/>
  <c r="L71" i="47"/>
  <c r="T71" i="47" s="1"/>
  <c r="U71" i="47"/>
  <c r="U75" i="47"/>
  <c r="U80" i="47"/>
  <c r="L80" i="47"/>
  <c r="T80" i="47" s="1"/>
  <c r="L82" i="47"/>
  <c r="T82" i="47" s="1"/>
  <c r="U82" i="47"/>
  <c r="L86" i="47"/>
  <c r="T86" i="47" s="1"/>
  <c r="U86" i="47"/>
  <c r="L98" i="47"/>
  <c r="T98" i="47" s="1"/>
  <c r="U98" i="47"/>
  <c r="L102" i="47"/>
  <c r="T102" i="47" s="1"/>
  <c r="U102" i="47"/>
  <c r="L105" i="47"/>
  <c r="T105" i="47" s="1"/>
  <c r="U105" i="47"/>
  <c r="L108" i="47"/>
  <c r="T108" i="47" s="1"/>
  <c r="U108" i="47"/>
  <c r="AC112" i="47"/>
  <c r="L113" i="47"/>
  <c r="T113" i="47" s="1"/>
  <c r="U113" i="47"/>
  <c r="AC116" i="47"/>
  <c r="L117" i="47"/>
  <c r="T117" i="47" s="1"/>
  <c r="U117" i="47"/>
  <c r="AC120" i="47"/>
  <c r="L121" i="47"/>
  <c r="T121" i="47" s="1"/>
  <c r="U121" i="47"/>
  <c r="L123" i="47"/>
  <c r="T123" i="47" s="1"/>
  <c r="U123" i="47"/>
  <c r="L124" i="47"/>
  <c r="T124" i="47" s="1"/>
  <c r="U124" i="47"/>
  <c r="U128" i="47"/>
  <c r="AC82" i="47"/>
  <c r="L83" i="47"/>
  <c r="T83" i="47" s="1"/>
  <c r="U83" i="47"/>
  <c r="AC86" i="47"/>
  <c r="L95" i="47"/>
  <c r="T95" i="47" s="1"/>
  <c r="U95" i="47"/>
  <c r="AC98" i="47"/>
  <c r="L99" i="47"/>
  <c r="T99" i="47" s="1"/>
  <c r="U99" i="47"/>
  <c r="AC102" i="47"/>
  <c r="L106" i="47"/>
  <c r="T106" i="47" s="1"/>
  <c r="U106" i="47"/>
  <c r="L109" i="47"/>
  <c r="T109" i="47" s="1"/>
  <c r="U109" i="47"/>
  <c r="L110" i="47"/>
  <c r="T110" i="47" s="1"/>
  <c r="U110" i="47"/>
  <c r="AC113" i="47"/>
  <c r="L114" i="47"/>
  <c r="T114" i="47" s="1"/>
  <c r="U114" i="47"/>
  <c r="L118" i="47"/>
  <c r="T118" i="47" s="1"/>
  <c r="U118" i="47"/>
  <c r="AC125" i="47"/>
  <c r="U125" i="47"/>
  <c r="L125" i="47"/>
  <c r="T125" i="47" s="1"/>
  <c r="AC129" i="47"/>
  <c r="U129" i="47"/>
  <c r="L129" i="47"/>
  <c r="T129" i="47" s="1"/>
  <c r="L119" i="47"/>
  <c r="T119" i="47" s="1"/>
  <c r="L122" i="47"/>
  <c r="T122" i="47" s="1"/>
  <c r="U122" i="47"/>
  <c r="AC124" i="47"/>
  <c r="AC128" i="47"/>
  <c r="L81" i="47"/>
  <c r="T81" i="47" s="1"/>
  <c r="L85" i="47"/>
  <c r="T85" i="47" s="1"/>
  <c r="L97" i="47"/>
  <c r="T97" i="47" s="1"/>
  <c r="L101" i="47"/>
  <c r="T101" i="47" s="1"/>
  <c r="U126" i="47"/>
  <c r="L126" i="47"/>
  <c r="T126" i="47" s="1"/>
  <c r="AC130" i="47"/>
  <c r="AC134" i="47"/>
  <c r="AC137" i="47"/>
  <c r="AC141" i="47"/>
  <c r="AC144" i="47"/>
  <c r="AC148" i="47"/>
  <c r="AC151" i="47"/>
  <c r="AC157" i="47"/>
  <c r="AC160" i="47"/>
  <c r="AC163" i="47"/>
  <c r="AC164" i="47"/>
  <c r="U165" i="47"/>
  <c r="U170" i="47"/>
  <c r="L132" i="47"/>
  <c r="T132" i="47" s="1"/>
  <c r="L136" i="47"/>
  <c r="T136" i="47" s="1"/>
  <c r="L139" i="47"/>
  <c r="T139" i="47" s="1"/>
  <c r="L146" i="47"/>
  <c r="T146" i="47" s="1"/>
  <c r="L149" i="47"/>
  <c r="T149" i="47" s="1"/>
  <c r="L153" i="47"/>
  <c r="T153" i="47" s="1"/>
  <c r="L155" i="47"/>
  <c r="T155" i="47" s="1"/>
  <c r="L158" i="47"/>
  <c r="T158" i="47" s="1"/>
  <c r="L133" i="47"/>
  <c r="T133" i="47" s="1"/>
  <c r="U133" i="47"/>
  <c r="L140" i="47"/>
  <c r="T140" i="47" s="1"/>
  <c r="U140" i="47"/>
  <c r="L143" i="47"/>
  <c r="T143" i="47" s="1"/>
  <c r="U143" i="47"/>
  <c r="L147" i="47"/>
  <c r="T147" i="47" s="1"/>
  <c r="U147" i="47"/>
  <c r="L150" i="47"/>
  <c r="T150" i="47" s="1"/>
  <c r="U150" i="47"/>
  <c r="L154" i="47"/>
  <c r="T154" i="47" s="1"/>
  <c r="U154" i="47"/>
  <c r="Y154" i="47" s="1"/>
  <c r="L156" i="47"/>
  <c r="T156" i="47" s="1"/>
  <c r="U156" i="47"/>
  <c r="L159" i="47"/>
  <c r="T159" i="47" s="1"/>
  <c r="U159" i="47"/>
  <c r="L162" i="47"/>
  <c r="T162" i="47" s="1"/>
  <c r="U162" i="47"/>
  <c r="L167" i="47"/>
  <c r="T167" i="47" s="1"/>
  <c r="U167" i="47"/>
  <c r="AC169" i="47"/>
  <c r="L130" i="47"/>
  <c r="T130" i="47" s="1"/>
  <c r="L134" i="47"/>
  <c r="T134" i="47" s="1"/>
  <c r="L137" i="47"/>
  <c r="T137" i="47" s="1"/>
  <c r="L141" i="47"/>
  <c r="T141" i="47" s="1"/>
  <c r="L144" i="47"/>
  <c r="T144" i="47" s="1"/>
  <c r="L148" i="47"/>
  <c r="T148" i="47" s="1"/>
  <c r="L151" i="47"/>
  <c r="T151" i="47" s="1"/>
  <c r="L157" i="47"/>
  <c r="T157" i="47" s="1"/>
  <c r="L160" i="47"/>
  <c r="T160" i="47" s="1"/>
  <c r="L163" i="47"/>
  <c r="T163" i="47" s="1"/>
  <c r="L164" i="47"/>
  <c r="T164" i="47" s="1"/>
  <c r="L168" i="47"/>
  <c r="T168" i="47" s="1"/>
  <c r="U168" i="47"/>
  <c r="U169" i="47"/>
  <c r="AC170" i="47"/>
  <c r="AC171" i="47"/>
  <c r="L172" i="47"/>
  <c r="T172" i="47" s="1"/>
  <c r="U172" i="47"/>
  <c r="L175" i="47"/>
  <c r="T175" i="47" s="1"/>
  <c r="U175" i="47"/>
  <c r="AC178" i="47"/>
  <c r="AC181" i="47"/>
  <c r="AC172" i="47"/>
  <c r="L173" i="47"/>
  <c r="T173" i="47" s="1"/>
  <c r="AC175" i="47"/>
  <c r="U185" i="47"/>
  <c r="L185" i="47"/>
  <c r="T185" i="47" s="1"/>
  <c r="L170" i="47"/>
  <c r="T170" i="47" s="1"/>
  <c r="L171" i="47"/>
  <c r="T171" i="47" s="1"/>
  <c r="L178" i="47"/>
  <c r="T178" i="47" s="1"/>
  <c r="L181" i="47"/>
  <c r="T181" i="47" s="1"/>
  <c r="U182" i="47"/>
  <c r="AC182" i="47"/>
  <c r="L183" i="47"/>
  <c r="T183" i="47" s="1"/>
  <c r="U183" i="47"/>
  <c r="AC184" i="47"/>
  <c r="U184" i="47"/>
  <c r="L184" i="47"/>
  <c r="T184" i="47" s="1"/>
  <c r="AC185" i="47"/>
  <c r="AC188" i="47"/>
  <c r="U188" i="47"/>
  <c r="L188" i="47"/>
  <c r="T188" i="47" s="1"/>
  <c r="AC189" i="47"/>
  <c r="U189" i="47"/>
  <c r="L189" i="47"/>
  <c r="T189" i="47" s="1"/>
  <c r="U211" i="47"/>
  <c r="L211" i="47"/>
  <c r="T211" i="47" s="1"/>
  <c r="AC218" i="47"/>
  <c r="U218" i="47"/>
  <c r="L218" i="47"/>
  <c r="T218" i="47" s="1"/>
  <c r="U224" i="47"/>
  <c r="L224" i="47"/>
  <c r="T224" i="47" s="1"/>
  <c r="L191" i="47"/>
  <c r="T191" i="47" s="1"/>
  <c r="U191" i="47"/>
  <c r="AC194" i="47"/>
  <c r="L195" i="47"/>
  <c r="T195" i="47" s="1"/>
  <c r="U195" i="47"/>
  <c r="AC198" i="47"/>
  <c r="L199" i="47"/>
  <c r="T199" i="47" s="1"/>
  <c r="U199" i="47"/>
  <c r="AC202" i="47"/>
  <c r="L203" i="47"/>
  <c r="T203" i="47" s="1"/>
  <c r="L207" i="47"/>
  <c r="T207" i="47" s="1"/>
  <c r="U210" i="47"/>
  <c r="L210" i="47"/>
  <c r="T210" i="47" s="1"/>
  <c r="U214" i="47"/>
  <c r="L214" i="47"/>
  <c r="T214" i="47" s="1"/>
  <c r="AC221" i="47"/>
  <c r="U221" i="47"/>
  <c r="L221" i="47"/>
  <c r="T221" i="47" s="1"/>
  <c r="AC231" i="47"/>
  <c r="U231" i="47"/>
  <c r="L231" i="47"/>
  <c r="T231" i="47" s="1"/>
  <c r="L192" i="47"/>
  <c r="T192" i="47" s="1"/>
  <c r="U192" i="47"/>
  <c r="L196" i="47"/>
  <c r="T196" i="47" s="1"/>
  <c r="U196" i="47"/>
  <c r="L200" i="47"/>
  <c r="T200" i="47" s="1"/>
  <c r="U200" i="47"/>
  <c r="L204" i="47"/>
  <c r="T204" i="47" s="1"/>
  <c r="U204" i="47"/>
  <c r="L208" i="47"/>
  <c r="T208" i="47" s="1"/>
  <c r="U208" i="47"/>
  <c r="AC212" i="47"/>
  <c r="U212" i="47"/>
  <c r="L212" i="47"/>
  <c r="T212" i="47" s="1"/>
  <c r="U217" i="47"/>
  <c r="L217" i="47"/>
  <c r="T217" i="47" s="1"/>
  <c r="AC220" i="47"/>
  <c r="AC225" i="47"/>
  <c r="U225" i="47"/>
  <c r="L225" i="47"/>
  <c r="T225" i="47" s="1"/>
  <c r="AC229" i="47"/>
  <c r="L229" i="47"/>
  <c r="T229" i="47" s="1"/>
  <c r="U229" i="47"/>
  <c r="L201" i="47"/>
  <c r="T201" i="47" s="1"/>
  <c r="L205" i="47"/>
  <c r="T205" i="47" s="1"/>
  <c r="AC209" i="47"/>
  <c r="U209" i="47"/>
  <c r="L209" i="47"/>
  <c r="T209" i="47" s="1"/>
  <c r="AC210" i="47"/>
  <c r="AC211" i="47"/>
  <c r="AC215" i="47"/>
  <c r="U215" i="47"/>
  <c r="L215" i="47"/>
  <c r="T215" i="47" s="1"/>
  <c r="U220" i="47"/>
  <c r="L220" i="47"/>
  <c r="T220" i="47" s="1"/>
  <c r="AC224" i="47"/>
  <c r="AC235" i="47"/>
  <c r="U235" i="47"/>
  <c r="L235" i="47"/>
  <c r="T235" i="47" s="1"/>
  <c r="U226" i="47"/>
  <c r="AC226" i="47"/>
  <c r="L227" i="47"/>
  <c r="T227" i="47" s="1"/>
  <c r="U227" i="47"/>
  <c r="AC228" i="47"/>
  <c r="U230" i="47"/>
  <c r="L230" i="47"/>
  <c r="T230" i="47" s="1"/>
  <c r="AC230" i="47"/>
  <c r="U234" i="47"/>
  <c r="L234" i="47"/>
  <c r="T234" i="47" s="1"/>
  <c r="AC234" i="47"/>
  <c r="L219" i="47"/>
  <c r="T219" i="47" s="1"/>
  <c r="L222" i="47"/>
  <c r="T222" i="47" s="1"/>
  <c r="L226" i="47"/>
  <c r="T226" i="47" s="1"/>
  <c r="U228" i="47"/>
  <c r="AC238" i="47"/>
  <c r="AC241" i="47"/>
  <c r="L242" i="47"/>
  <c r="T242" i="47" s="1"/>
  <c r="U242" i="47"/>
  <c r="AC245" i="47"/>
  <c r="L246" i="47"/>
  <c r="T246" i="47" s="1"/>
  <c r="U246" i="47"/>
  <c r="AC249" i="47"/>
  <c r="L232" i="47"/>
  <c r="T232" i="47" s="1"/>
  <c r="L236" i="47"/>
  <c r="T236" i="47" s="1"/>
  <c r="L239" i="47"/>
  <c r="T239" i="47" s="1"/>
  <c r="AC242" i="47"/>
  <c r="L243" i="47"/>
  <c r="T243" i="47" s="1"/>
  <c r="AC246" i="47"/>
  <c r="L247" i="47"/>
  <c r="T247" i="47" s="1"/>
  <c r="L238" i="47"/>
  <c r="T238" i="47" s="1"/>
  <c r="L241" i="47"/>
  <c r="T241" i="47" s="1"/>
  <c r="L245" i="47"/>
  <c r="T245" i="47" s="1"/>
  <c r="L249" i="47"/>
  <c r="T249" i="47" s="1"/>
  <c r="AF197" i="47" l="1"/>
  <c r="AG197" i="47" s="1"/>
  <c r="U258" i="47"/>
  <c r="U262" i="47" s="1"/>
  <c r="AC258" i="47"/>
  <c r="AC262" i="47" s="1"/>
  <c r="L258" i="47"/>
  <c r="L262" i="47" s="1"/>
  <c r="Y23" i="47"/>
  <c r="Z23" i="47" s="1"/>
  <c r="AB23" i="47" s="1"/>
  <c r="AF131" i="47"/>
  <c r="AG131" i="47" s="1"/>
  <c r="AD19" i="47"/>
  <c r="AF19" i="47" s="1"/>
  <c r="AG19" i="47" s="1"/>
  <c r="V19" i="47"/>
  <c r="Y19" i="47" s="1"/>
  <c r="Z19" i="47" s="1"/>
  <c r="AB19" i="47" s="1"/>
  <c r="AF11" i="47"/>
  <c r="AG11" i="47" s="1"/>
  <c r="Y179" i="47"/>
  <c r="Z179" i="47" s="1"/>
  <c r="AB179" i="47" s="1"/>
  <c r="V55" i="47"/>
  <c r="Y55" i="47" s="1"/>
  <c r="Z55" i="47" s="1"/>
  <c r="AB55" i="47" s="1"/>
  <c r="AD55" i="47"/>
  <c r="AF55" i="47" s="1"/>
  <c r="AG55" i="47" s="1"/>
  <c r="AD39" i="47"/>
  <c r="AF39" i="47" s="1"/>
  <c r="AG39" i="47" s="1"/>
  <c r="Y152" i="47"/>
  <c r="Z152" i="47" s="1"/>
  <c r="AB152" i="47" s="1"/>
  <c r="AD23" i="47"/>
  <c r="AF23" i="47" s="1"/>
  <c r="AG23" i="47" s="1"/>
  <c r="AD128" i="47"/>
  <c r="AF128" i="47" s="1"/>
  <c r="AG128" i="47" s="1"/>
  <c r="V128" i="47"/>
  <c r="Y128" i="47" s="1"/>
  <c r="Z128" i="47" s="1"/>
  <c r="AB128" i="47" s="1"/>
  <c r="AD107" i="47"/>
  <c r="AF107" i="47" s="1"/>
  <c r="AG107" i="47" s="1"/>
  <c r="V107" i="47"/>
  <c r="Y107" i="47" s="1"/>
  <c r="Z107" i="47" s="1"/>
  <c r="AB107" i="47" s="1"/>
  <c r="AD15" i="47"/>
  <c r="AF15" i="47" s="1"/>
  <c r="AG15" i="47" s="1"/>
  <c r="V15" i="47"/>
  <c r="Y15" i="47" s="1"/>
  <c r="Z15" i="47" s="1"/>
  <c r="AB15" i="47" s="1"/>
  <c r="Y120" i="47"/>
  <c r="Z120" i="47" s="1"/>
  <c r="AB120" i="47" s="1"/>
  <c r="Y145" i="47"/>
  <c r="Z145" i="47" s="1"/>
  <c r="AB145" i="47" s="1"/>
  <c r="V27" i="47"/>
  <c r="Y27" i="47" s="1"/>
  <c r="Z27" i="47" s="1"/>
  <c r="AB27" i="47" s="1"/>
  <c r="V11" i="47"/>
  <c r="Y11" i="47" s="1"/>
  <c r="Z11" i="47" s="1"/>
  <c r="AB11" i="47" s="1"/>
  <c r="V100" i="47"/>
  <c r="Y100" i="47" s="1"/>
  <c r="Z100" i="47" s="1"/>
  <c r="AB100" i="47" s="1"/>
  <c r="AD100" i="47"/>
  <c r="AF100" i="47" s="1"/>
  <c r="AG100" i="47" s="1"/>
  <c r="V116" i="47"/>
  <c r="Y116" i="47" s="1"/>
  <c r="Z116" i="47" s="1"/>
  <c r="AB116" i="47" s="1"/>
  <c r="AD116" i="47"/>
  <c r="AF116" i="47" s="1"/>
  <c r="AG116" i="47" s="1"/>
  <c r="AD58" i="47"/>
  <c r="AF58" i="47" s="1"/>
  <c r="AG58" i="47" s="1"/>
  <c r="V58" i="47"/>
  <c r="Y58" i="47" s="1"/>
  <c r="Z58" i="47" s="1"/>
  <c r="AB58" i="47" s="1"/>
  <c r="AD120" i="47"/>
  <c r="AF120" i="47" s="1"/>
  <c r="AG120" i="47" s="1"/>
  <c r="AD152" i="47"/>
  <c r="AF152" i="47" s="1"/>
  <c r="AG152" i="47" s="1"/>
  <c r="AD69" i="47"/>
  <c r="AF69" i="47" s="1"/>
  <c r="AG69" i="47" s="1"/>
  <c r="AF7" i="47"/>
  <c r="AG7" i="47" s="1"/>
  <c r="V51" i="47"/>
  <c r="Y51" i="47" s="1"/>
  <c r="Z51" i="47" s="1"/>
  <c r="AB51" i="47" s="1"/>
  <c r="AD51" i="47"/>
  <c r="AF51" i="47" s="1"/>
  <c r="AG51" i="47" s="1"/>
  <c r="V177" i="47"/>
  <c r="Y177" i="47" s="1"/>
  <c r="Z177" i="47" s="1"/>
  <c r="AB177" i="47" s="1"/>
  <c r="AD177" i="47"/>
  <c r="AF177" i="47" s="1"/>
  <c r="AG177" i="47" s="1"/>
  <c r="V103" i="47"/>
  <c r="Y103" i="47" s="1"/>
  <c r="Z103" i="47" s="1"/>
  <c r="AB103" i="47" s="1"/>
  <c r="AD103" i="47"/>
  <c r="AF103" i="47" s="1"/>
  <c r="AG103" i="47" s="1"/>
  <c r="V194" i="47"/>
  <c r="Y194" i="47" s="1"/>
  <c r="Z194" i="47" s="1"/>
  <c r="AB194" i="47" s="1"/>
  <c r="AD194" i="47"/>
  <c r="AF194" i="47" s="1"/>
  <c r="AG194" i="47" s="1"/>
  <c r="V202" i="47"/>
  <c r="Y202" i="47" s="1"/>
  <c r="Z202" i="47" s="1"/>
  <c r="AB202" i="47" s="1"/>
  <c r="AD145" i="47"/>
  <c r="AF145" i="47" s="1"/>
  <c r="AG145" i="47" s="1"/>
  <c r="Y180" i="47"/>
  <c r="Z180" i="47" s="1"/>
  <c r="AB180" i="47" s="1"/>
  <c r="T67" i="47"/>
  <c r="V67" i="47" s="1"/>
  <c r="Y67" i="47" s="1"/>
  <c r="Y69" i="47"/>
  <c r="Z69" i="47" s="1"/>
  <c r="AB69" i="47" s="1"/>
  <c r="AD135" i="47"/>
  <c r="AF135" i="47" s="1"/>
  <c r="AG135" i="47" s="1"/>
  <c r="V135" i="47"/>
  <c r="Y135" i="47" s="1"/>
  <c r="Z135" i="47" s="1"/>
  <c r="AB135" i="47" s="1"/>
  <c r="V89" i="47"/>
  <c r="Y89" i="47" s="1"/>
  <c r="Z89" i="47" s="1"/>
  <c r="AB89" i="47" s="1"/>
  <c r="AD89" i="47"/>
  <c r="AF89" i="47" s="1"/>
  <c r="AG89" i="47" s="1"/>
  <c r="V31" i="47"/>
  <c r="Y31" i="47" s="1"/>
  <c r="Z31" i="47" s="1"/>
  <c r="AB31" i="47" s="1"/>
  <c r="AD31" i="47"/>
  <c r="AF31" i="47" s="1"/>
  <c r="AG31" i="47" s="1"/>
  <c r="V104" i="47"/>
  <c r="Y104" i="47" s="1"/>
  <c r="Z104" i="47" s="1"/>
  <c r="AB104" i="47" s="1"/>
  <c r="AD104" i="47"/>
  <c r="AF104" i="47" s="1"/>
  <c r="AG104" i="47" s="1"/>
  <c r="V92" i="47"/>
  <c r="Y92" i="47" s="1"/>
  <c r="Z92" i="47" s="1"/>
  <c r="AB92" i="47" s="1"/>
  <c r="AD92" i="47"/>
  <c r="AF92" i="47" s="1"/>
  <c r="AG92" i="47" s="1"/>
  <c r="V93" i="47"/>
  <c r="Y93" i="47" s="1"/>
  <c r="Z93" i="47" s="1"/>
  <c r="AB93" i="47" s="1"/>
  <c r="AD93" i="47"/>
  <c r="AF93" i="47" s="1"/>
  <c r="AG93" i="47" s="1"/>
  <c r="V198" i="47"/>
  <c r="Y198" i="47" s="1"/>
  <c r="Z198" i="47" s="1"/>
  <c r="AB198" i="47" s="1"/>
  <c r="AD179" i="47"/>
  <c r="AF179" i="47" s="1"/>
  <c r="AG179" i="47" s="1"/>
  <c r="V88" i="47"/>
  <c r="Y88" i="47" s="1"/>
  <c r="Z88" i="47" s="1"/>
  <c r="AB88" i="47" s="1"/>
  <c r="AD88" i="47"/>
  <c r="AF88" i="47" s="1"/>
  <c r="AG88" i="47" s="1"/>
  <c r="AF27" i="47"/>
  <c r="AG27" i="47" s="1"/>
  <c r="V7" i="47"/>
  <c r="Y7" i="47" s="1"/>
  <c r="Z7" i="47" s="1"/>
  <c r="AB7" i="47" s="1"/>
  <c r="AD91" i="47"/>
  <c r="AF91" i="47" s="1"/>
  <c r="AG91" i="47" s="1"/>
  <c r="V91" i="47"/>
  <c r="Y91" i="47" s="1"/>
  <c r="Z91" i="47" s="1"/>
  <c r="AB91" i="47" s="1"/>
  <c r="AD87" i="47"/>
  <c r="AF87" i="47" s="1"/>
  <c r="AG87" i="47" s="1"/>
  <c r="V87" i="47"/>
  <c r="Y87" i="47" s="1"/>
  <c r="Z87" i="47" s="1"/>
  <c r="AB87" i="47" s="1"/>
  <c r="V197" i="47"/>
  <c r="Y197" i="47" s="1"/>
  <c r="Z197" i="47" s="1"/>
  <c r="AB197" i="47" s="1"/>
  <c r="AD180" i="47"/>
  <c r="AF180" i="47" s="1"/>
  <c r="AG180" i="47" s="1"/>
  <c r="V131" i="47"/>
  <c r="Y131" i="47" s="1"/>
  <c r="Z131" i="47" s="1"/>
  <c r="AB131" i="47" s="1"/>
  <c r="Y39" i="47"/>
  <c r="Z39" i="47" s="1"/>
  <c r="AB39" i="47" s="1"/>
  <c r="AD94" i="47"/>
  <c r="AF94" i="47" s="1"/>
  <c r="AG94" i="47" s="1"/>
  <c r="V94" i="47"/>
  <c r="Y94" i="47" s="1"/>
  <c r="Z94" i="47" s="1"/>
  <c r="AB94" i="47" s="1"/>
  <c r="AD90" i="47"/>
  <c r="AF90" i="47" s="1"/>
  <c r="AG90" i="47" s="1"/>
  <c r="V90" i="47"/>
  <c r="Y90" i="47" s="1"/>
  <c r="Z90" i="47" s="1"/>
  <c r="AB90" i="47" s="1"/>
  <c r="AF198" i="47"/>
  <c r="AG198" i="47" s="1"/>
  <c r="AF202" i="47"/>
  <c r="AG202" i="47" s="1"/>
  <c r="V165" i="47"/>
  <c r="Y165" i="47" s="1"/>
  <c r="Z165" i="47" s="1"/>
  <c r="AB165" i="47" s="1"/>
  <c r="AD165" i="47"/>
  <c r="AF165" i="47" s="1"/>
  <c r="AG165" i="47" s="1"/>
  <c r="V161" i="47"/>
  <c r="Y161" i="47" s="1"/>
  <c r="Z161" i="47" s="1"/>
  <c r="AB161" i="47" s="1"/>
  <c r="AD161" i="47"/>
  <c r="AF161" i="47" s="1"/>
  <c r="AG161" i="47" s="1"/>
  <c r="AD138" i="47"/>
  <c r="AF138" i="47" s="1"/>
  <c r="AG138" i="47" s="1"/>
  <c r="V138" i="47"/>
  <c r="Y138" i="47" s="1"/>
  <c r="Z138" i="47" s="1"/>
  <c r="AB138" i="47" s="1"/>
  <c r="V43" i="47"/>
  <c r="Y43" i="47" s="1"/>
  <c r="Z43" i="47" s="1"/>
  <c r="AB43" i="47" s="1"/>
  <c r="AD43" i="47"/>
  <c r="AF43" i="47" s="1"/>
  <c r="AG43" i="47" s="1"/>
  <c r="V96" i="47"/>
  <c r="Y96" i="47" s="1"/>
  <c r="Z96" i="47" s="1"/>
  <c r="AB96" i="47" s="1"/>
  <c r="AD96" i="47"/>
  <c r="AF96" i="47" s="1"/>
  <c r="AG96" i="47" s="1"/>
  <c r="AD193" i="47"/>
  <c r="AF193" i="47" s="1"/>
  <c r="AG193" i="47" s="1"/>
  <c r="V193" i="47"/>
  <c r="Y193" i="47" s="1"/>
  <c r="Z193" i="47" s="1"/>
  <c r="AB193" i="47" s="1"/>
  <c r="V112" i="47"/>
  <c r="Y112" i="47" s="1"/>
  <c r="Z112" i="47" s="1"/>
  <c r="AB112" i="47" s="1"/>
  <c r="AD112" i="47"/>
  <c r="AF112" i="47" s="1"/>
  <c r="AG112" i="47" s="1"/>
  <c r="V62" i="47"/>
  <c r="Y62" i="47" s="1"/>
  <c r="Z62" i="47" s="1"/>
  <c r="AB62" i="47" s="1"/>
  <c r="AD62" i="47"/>
  <c r="AF62" i="47" s="1"/>
  <c r="AG62" i="47" s="1"/>
  <c r="V47" i="47"/>
  <c r="Y47" i="47" s="1"/>
  <c r="Z47" i="47" s="1"/>
  <c r="AB47" i="47" s="1"/>
  <c r="AD47" i="47"/>
  <c r="AF47" i="47" s="1"/>
  <c r="AG47" i="47" s="1"/>
  <c r="V111" i="47"/>
  <c r="Y111" i="47" s="1"/>
  <c r="Z111" i="47" s="1"/>
  <c r="AB111" i="47" s="1"/>
  <c r="AD111" i="47"/>
  <c r="AF111" i="47" s="1"/>
  <c r="AG111" i="47" s="1"/>
  <c r="AD84" i="47"/>
  <c r="AF84" i="47" s="1"/>
  <c r="AG84" i="47" s="1"/>
  <c r="V84" i="47"/>
  <c r="Y84" i="47" s="1"/>
  <c r="Z84" i="47" s="1"/>
  <c r="AB84" i="47" s="1"/>
  <c r="V223" i="47"/>
  <c r="Y223" i="47" s="1"/>
  <c r="Z223" i="47" s="1"/>
  <c r="AB223" i="47" s="1"/>
  <c r="AD223" i="47"/>
  <c r="AF223" i="47" s="1"/>
  <c r="AG223" i="47" s="1"/>
  <c r="AD206" i="47"/>
  <c r="AF206" i="47" s="1"/>
  <c r="AG206" i="47" s="1"/>
  <c r="V206" i="47"/>
  <c r="Y206" i="47" s="1"/>
  <c r="Z206" i="47" s="1"/>
  <c r="AB206" i="47" s="1"/>
  <c r="AD142" i="47"/>
  <c r="AF142" i="47" s="1"/>
  <c r="AG142" i="47" s="1"/>
  <c r="V142" i="47"/>
  <c r="Y142" i="47" s="1"/>
  <c r="Z142" i="47" s="1"/>
  <c r="AB142" i="47" s="1"/>
  <c r="AD65" i="47"/>
  <c r="AF65" i="47" s="1"/>
  <c r="AG65" i="47" s="1"/>
  <c r="V65" i="47"/>
  <c r="Y65" i="47" s="1"/>
  <c r="Z65" i="47" s="1"/>
  <c r="AB65" i="47" s="1"/>
  <c r="AD132" i="47"/>
  <c r="AF132" i="47" s="1"/>
  <c r="AG132" i="47" s="1"/>
  <c r="V132" i="47"/>
  <c r="Y132" i="47" s="1"/>
  <c r="Z132" i="47" s="1"/>
  <c r="AB132" i="47" s="1"/>
  <c r="AD211" i="47"/>
  <c r="AF211" i="47" s="1"/>
  <c r="AG211" i="47" s="1"/>
  <c r="V211" i="47"/>
  <c r="Y211" i="47" s="1"/>
  <c r="Z211" i="47" s="1"/>
  <c r="AB211" i="47" s="1"/>
  <c r="AD173" i="47"/>
  <c r="AF173" i="47" s="1"/>
  <c r="AG173" i="47" s="1"/>
  <c r="V173" i="47"/>
  <c r="Y173" i="47" s="1"/>
  <c r="Z173" i="47" s="1"/>
  <c r="AB173" i="47" s="1"/>
  <c r="AD153" i="47"/>
  <c r="AF153" i="47" s="1"/>
  <c r="AG153" i="47" s="1"/>
  <c r="V153" i="47"/>
  <c r="Y153" i="47" s="1"/>
  <c r="Z153" i="47" s="1"/>
  <c r="AB153" i="47" s="1"/>
  <c r="AD146" i="47"/>
  <c r="AF146" i="47" s="1"/>
  <c r="AG146" i="47" s="1"/>
  <c r="V146" i="47"/>
  <c r="Y146" i="47" s="1"/>
  <c r="Z146" i="47" s="1"/>
  <c r="AB146" i="47" s="1"/>
  <c r="V221" i="47"/>
  <c r="Y221" i="47" s="1"/>
  <c r="Z221" i="47" s="1"/>
  <c r="AB221" i="47" s="1"/>
  <c r="AD221" i="47"/>
  <c r="AF221" i="47" s="1"/>
  <c r="AG221" i="47" s="1"/>
  <c r="V125" i="47"/>
  <c r="Y125" i="47" s="1"/>
  <c r="Z125" i="47" s="1"/>
  <c r="AB125" i="47" s="1"/>
  <c r="AD125" i="47"/>
  <c r="AF125" i="47" s="1"/>
  <c r="AG125" i="47" s="1"/>
  <c r="AD109" i="47"/>
  <c r="AF109" i="47" s="1"/>
  <c r="AG109" i="47" s="1"/>
  <c r="V109" i="47"/>
  <c r="Y109" i="47" s="1"/>
  <c r="Z109" i="47" s="1"/>
  <c r="AB109" i="47" s="1"/>
  <c r="V64" i="47"/>
  <c r="Y64" i="47" s="1"/>
  <c r="Z64" i="47" s="1"/>
  <c r="AB64" i="47" s="1"/>
  <c r="AD64" i="47"/>
  <c r="AF64" i="47" s="1"/>
  <c r="AG64" i="47" s="1"/>
  <c r="V9" i="47"/>
  <c r="Y9" i="47" s="1"/>
  <c r="Z9" i="47" s="1"/>
  <c r="AB9" i="47" s="1"/>
  <c r="AD9" i="47"/>
  <c r="AF9" i="47" s="1"/>
  <c r="AG9" i="47" s="1"/>
  <c r="AD234" i="47"/>
  <c r="V234" i="47"/>
  <c r="Y234" i="47" s="1"/>
  <c r="Z234" i="47" s="1"/>
  <c r="AD227" i="47"/>
  <c r="AF227" i="47" s="1"/>
  <c r="AG227" i="47" s="1"/>
  <c r="V227" i="47"/>
  <c r="Y227" i="47" s="1"/>
  <c r="Z227" i="47" s="1"/>
  <c r="AB227" i="47" s="1"/>
  <c r="AD224" i="47"/>
  <c r="AF224" i="47" s="1"/>
  <c r="AG224" i="47" s="1"/>
  <c r="V224" i="47"/>
  <c r="Y224" i="47" s="1"/>
  <c r="Z224" i="47" s="1"/>
  <c r="AB224" i="47" s="1"/>
  <c r="AD216" i="47"/>
  <c r="AF216" i="47" s="1"/>
  <c r="AG216" i="47" s="1"/>
  <c r="V216" i="47"/>
  <c r="Y216" i="47" s="1"/>
  <c r="Z216" i="47" s="1"/>
  <c r="AB216" i="47" s="1"/>
  <c r="AD201" i="47"/>
  <c r="AF201" i="47" s="1"/>
  <c r="AG201" i="47" s="1"/>
  <c r="V201" i="47"/>
  <c r="Y201" i="47" s="1"/>
  <c r="Z201" i="47" s="1"/>
  <c r="AB201" i="47" s="1"/>
  <c r="V200" i="47"/>
  <c r="Y200" i="47" s="1"/>
  <c r="Z200" i="47" s="1"/>
  <c r="AB200" i="47" s="1"/>
  <c r="AD200" i="47"/>
  <c r="AF200" i="47" s="1"/>
  <c r="AG200" i="47" s="1"/>
  <c r="V192" i="47"/>
  <c r="Y192" i="47" s="1"/>
  <c r="Z192" i="47" s="1"/>
  <c r="AB192" i="47" s="1"/>
  <c r="AD192" i="47"/>
  <c r="AF192" i="47" s="1"/>
  <c r="AG192" i="47" s="1"/>
  <c r="AD171" i="47"/>
  <c r="AF171" i="47" s="1"/>
  <c r="AG171" i="47" s="1"/>
  <c r="V171" i="47"/>
  <c r="Y171" i="47" s="1"/>
  <c r="Z171" i="47" s="1"/>
  <c r="AB171" i="47" s="1"/>
  <c r="AD186" i="47"/>
  <c r="AF186" i="47" s="1"/>
  <c r="AG186" i="47" s="1"/>
  <c r="V186" i="47"/>
  <c r="Y186" i="47" s="1"/>
  <c r="Z186" i="47" s="1"/>
  <c r="AB186" i="47" s="1"/>
  <c r="AD176" i="47"/>
  <c r="AF176" i="47" s="1"/>
  <c r="AG176" i="47" s="1"/>
  <c r="V176" i="47"/>
  <c r="Y176" i="47" s="1"/>
  <c r="Z176" i="47" s="1"/>
  <c r="AB176" i="47" s="1"/>
  <c r="AD181" i="47"/>
  <c r="AF181" i="47" s="1"/>
  <c r="AG181" i="47" s="1"/>
  <c r="V181" i="47"/>
  <c r="Y181" i="47" s="1"/>
  <c r="Z181" i="47" s="1"/>
  <c r="AB181" i="47" s="1"/>
  <c r="AD168" i="47"/>
  <c r="AF168" i="47" s="1"/>
  <c r="AG168" i="47" s="1"/>
  <c r="V168" i="47"/>
  <c r="Y168" i="47" s="1"/>
  <c r="Z168" i="47" s="1"/>
  <c r="AB168" i="47" s="1"/>
  <c r="AD157" i="47"/>
  <c r="AF157" i="47" s="1"/>
  <c r="AG157" i="47" s="1"/>
  <c r="V157" i="47"/>
  <c r="Y157" i="47" s="1"/>
  <c r="Z157" i="47" s="1"/>
  <c r="AB157" i="47" s="1"/>
  <c r="AD163" i="47"/>
  <c r="AF163" i="47" s="1"/>
  <c r="AG163" i="47" s="1"/>
  <c r="V163" i="47"/>
  <c r="Y163" i="47" s="1"/>
  <c r="Z163" i="47" s="1"/>
  <c r="AB163" i="47" s="1"/>
  <c r="V159" i="47"/>
  <c r="Y159" i="47" s="1"/>
  <c r="Z159" i="47" s="1"/>
  <c r="AB159" i="47" s="1"/>
  <c r="AD159" i="47"/>
  <c r="AF159" i="47" s="1"/>
  <c r="AG159" i="47" s="1"/>
  <c r="AG154" i="47"/>
  <c r="Z154" i="47"/>
  <c r="AB154" i="47" s="1"/>
  <c r="V147" i="47"/>
  <c r="Y147" i="47" s="1"/>
  <c r="Z147" i="47" s="1"/>
  <c r="AB147" i="47" s="1"/>
  <c r="AD147" i="47"/>
  <c r="AF147" i="47" s="1"/>
  <c r="AG147" i="47" s="1"/>
  <c r="AD141" i="47"/>
  <c r="AF141" i="47" s="1"/>
  <c r="AG141" i="47" s="1"/>
  <c r="V141" i="47"/>
  <c r="Y141" i="47" s="1"/>
  <c r="Z141" i="47" s="1"/>
  <c r="AB141" i="47" s="1"/>
  <c r="V126" i="47"/>
  <c r="Y126" i="47" s="1"/>
  <c r="Z126" i="47" s="1"/>
  <c r="AB126" i="47" s="1"/>
  <c r="AD126" i="47"/>
  <c r="AF126" i="47" s="1"/>
  <c r="AG126" i="47" s="1"/>
  <c r="AD97" i="47"/>
  <c r="AF97" i="47" s="1"/>
  <c r="AG97" i="47" s="1"/>
  <c r="V97" i="47"/>
  <c r="Y97" i="47" s="1"/>
  <c r="Z97" i="47" s="1"/>
  <c r="AB97" i="47" s="1"/>
  <c r="V119" i="47"/>
  <c r="Y119" i="47" s="1"/>
  <c r="Z119" i="47" s="1"/>
  <c r="AB119" i="47" s="1"/>
  <c r="AD119" i="47"/>
  <c r="AF119" i="47" s="1"/>
  <c r="AG119" i="47" s="1"/>
  <c r="AD83" i="47"/>
  <c r="AF83" i="47" s="1"/>
  <c r="AG83" i="47" s="1"/>
  <c r="V83" i="47"/>
  <c r="Y83" i="47" s="1"/>
  <c r="Z83" i="47" s="1"/>
  <c r="AB83" i="47" s="1"/>
  <c r="AD123" i="47"/>
  <c r="AF123" i="47" s="1"/>
  <c r="AG123" i="47" s="1"/>
  <c r="V123" i="47"/>
  <c r="Y123" i="47" s="1"/>
  <c r="Z123" i="47" s="1"/>
  <c r="AB123" i="47" s="1"/>
  <c r="AD102" i="47"/>
  <c r="AF102" i="47" s="1"/>
  <c r="AG102" i="47" s="1"/>
  <c r="V102" i="47"/>
  <c r="Y102" i="47" s="1"/>
  <c r="Z102" i="47" s="1"/>
  <c r="AB102" i="47" s="1"/>
  <c r="AD66" i="47"/>
  <c r="AF66" i="47" s="1"/>
  <c r="AG66" i="47" s="1"/>
  <c r="V66" i="47"/>
  <c r="Y66" i="47" s="1"/>
  <c r="Z66" i="47" s="1"/>
  <c r="AB66" i="47" s="1"/>
  <c r="AD40" i="47"/>
  <c r="AF40" i="47" s="1"/>
  <c r="AG40" i="47" s="1"/>
  <c r="V40" i="47"/>
  <c r="Y40" i="47" s="1"/>
  <c r="Z40" i="47" s="1"/>
  <c r="AB40" i="47" s="1"/>
  <c r="AD33" i="47"/>
  <c r="AF33" i="47" s="1"/>
  <c r="AG33" i="47" s="1"/>
  <c r="V33" i="47"/>
  <c r="Y33" i="47" s="1"/>
  <c r="Z33" i="47" s="1"/>
  <c r="AB33" i="47" s="1"/>
  <c r="V61" i="47"/>
  <c r="Y61" i="47" s="1"/>
  <c r="Z61" i="47" s="1"/>
  <c r="AB61" i="47" s="1"/>
  <c r="AD61" i="47"/>
  <c r="AF61" i="47" s="1"/>
  <c r="AG61" i="47" s="1"/>
  <c r="AD222" i="47"/>
  <c r="AF222" i="47" s="1"/>
  <c r="AG222" i="47" s="1"/>
  <c r="V222" i="47"/>
  <c r="Y222" i="47" s="1"/>
  <c r="Z222" i="47" s="1"/>
  <c r="AB222" i="47" s="1"/>
  <c r="AD217" i="47"/>
  <c r="AF217" i="47" s="1"/>
  <c r="AG217" i="47" s="1"/>
  <c r="V217" i="47"/>
  <c r="Y217" i="47" s="1"/>
  <c r="Z217" i="47" s="1"/>
  <c r="AB217" i="47" s="1"/>
  <c r="AD203" i="47"/>
  <c r="AF203" i="47" s="1"/>
  <c r="AG203" i="47" s="1"/>
  <c r="V203" i="47"/>
  <c r="Y203" i="47" s="1"/>
  <c r="Z203" i="47" s="1"/>
  <c r="AB203" i="47" s="1"/>
  <c r="AD160" i="47"/>
  <c r="AF160" i="47" s="1"/>
  <c r="AG160" i="47" s="1"/>
  <c r="V160" i="47"/>
  <c r="Y160" i="47" s="1"/>
  <c r="Z160" i="47" s="1"/>
  <c r="AB160" i="47" s="1"/>
  <c r="AD155" i="47"/>
  <c r="AF155" i="47" s="1"/>
  <c r="AG155" i="47" s="1"/>
  <c r="V155" i="47"/>
  <c r="Y155" i="47" s="1"/>
  <c r="Z155" i="47" s="1"/>
  <c r="AB155" i="47" s="1"/>
  <c r="AD139" i="47"/>
  <c r="AF139" i="47" s="1"/>
  <c r="AG139" i="47" s="1"/>
  <c r="V139" i="47"/>
  <c r="Y139" i="47" s="1"/>
  <c r="Z139" i="47" s="1"/>
  <c r="AB139" i="47" s="1"/>
  <c r="V129" i="47"/>
  <c r="Y129" i="47" s="1"/>
  <c r="Z129" i="47" s="1"/>
  <c r="AB129" i="47" s="1"/>
  <c r="AD129" i="47"/>
  <c r="AF129" i="47" s="1"/>
  <c r="AG129" i="47" s="1"/>
  <c r="V122" i="47"/>
  <c r="Y122" i="47" s="1"/>
  <c r="Z122" i="47" s="1"/>
  <c r="AB122" i="47" s="1"/>
  <c r="AD122" i="47"/>
  <c r="AF122" i="47" s="1"/>
  <c r="AG122" i="47" s="1"/>
  <c r="AD78" i="47"/>
  <c r="AF78" i="47" s="1"/>
  <c r="AG78" i="47" s="1"/>
  <c r="V78" i="47"/>
  <c r="Y78" i="47" s="1"/>
  <c r="Z78" i="47" s="1"/>
  <c r="AB78" i="47" s="1"/>
  <c r="AD22" i="47"/>
  <c r="AF22" i="47" s="1"/>
  <c r="AG22" i="47" s="1"/>
  <c r="V22" i="47"/>
  <c r="Y22" i="47" s="1"/>
  <c r="Z22" i="47" s="1"/>
  <c r="AB22" i="47" s="1"/>
  <c r="AD59" i="47"/>
  <c r="AF59" i="47" s="1"/>
  <c r="AG59" i="47" s="1"/>
  <c r="V59" i="47"/>
  <c r="Y59" i="47" s="1"/>
  <c r="Z59" i="47" s="1"/>
  <c r="AB59" i="47" s="1"/>
  <c r="V25" i="47"/>
  <c r="Y25" i="47" s="1"/>
  <c r="Z25" i="47" s="1"/>
  <c r="AB25" i="47" s="1"/>
  <c r="AD25" i="47"/>
  <c r="AF25" i="47" s="1"/>
  <c r="AG25" i="47" s="1"/>
  <c r="AD32" i="47"/>
  <c r="AF32" i="47" s="1"/>
  <c r="AG32" i="47" s="1"/>
  <c r="V32" i="47"/>
  <c r="Y32" i="47" s="1"/>
  <c r="Z32" i="47" s="1"/>
  <c r="AB32" i="47" s="1"/>
  <c r="AD239" i="47"/>
  <c r="AF239" i="47" s="1"/>
  <c r="AG239" i="47" s="1"/>
  <c r="V239" i="47"/>
  <c r="Y239" i="47" s="1"/>
  <c r="Z239" i="47" s="1"/>
  <c r="AB239" i="47" s="1"/>
  <c r="V209" i="47"/>
  <c r="Y209" i="47" s="1"/>
  <c r="Z209" i="47" s="1"/>
  <c r="AB209" i="47" s="1"/>
  <c r="AD209" i="47"/>
  <c r="AF209" i="47" s="1"/>
  <c r="AG209" i="47" s="1"/>
  <c r="AD238" i="47"/>
  <c r="AF238" i="47" s="1"/>
  <c r="AG238" i="47" s="1"/>
  <c r="V238" i="47"/>
  <c r="Y238" i="47" s="1"/>
  <c r="Z238" i="47" s="1"/>
  <c r="AB238" i="47" s="1"/>
  <c r="V248" i="47"/>
  <c r="Y248" i="47" s="1"/>
  <c r="Z248" i="47" s="1"/>
  <c r="AB248" i="47" s="1"/>
  <c r="AD248" i="47"/>
  <c r="AF248" i="47" s="1"/>
  <c r="AG248" i="47" s="1"/>
  <c r="AD243" i="47"/>
  <c r="AF243" i="47" s="1"/>
  <c r="AG243" i="47" s="1"/>
  <c r="V243" i="47"/>
  <c r="Y243" i="47" s="1"/>
  <c r="Z243" i="47" s="1"/>
  <c r="AB243" i="47" s="1"/>
  <c r="AD232" i="47"/>
  <c r="AF232" i="47" s="1"/>
  <c r="AG232" i="47" s="1"/>
  <c r="V232" i="47"/>
  <c r="Y232" i="47" s="1"/>
  <c r="Z232" i="47" s="1"/>
  <c r="AB232" i="47" s="1"/>
  <c r="AD226" i="47"/>
  <c r="AF226" i="47" s="1"/>
  <c r="AG226" i="47" s="1"/>
  <c r="V226" i="47"/>
  <c r="Y226" i="47" s="1"/>
  <c r="Z226" i="47" s="1"/>
  <c r="AB226" i="47" s="1"/>
  <c r="V235" i="47"/>
  <c r="AD235" i="47"/>
  <c r="AF235" i="47" s="1"/>
  <c r="AG235" i="47" s="1"/>
  <c r="V208" i="47"/>
  <c r="Y208" i="47" s="1"/>
  <c r="Z208" i="47" s="1"/>
  <c r="AB208" i="47" s="1"/>
  <c r="AD208" i="47"/>
  <c r="AF208" i="47" s="1"/>
  <c r="AG208" i="47" s="1"/>
  <c r="V184" i="47"/>
  <c r="Y184" i="47" s="1"/>
  <c r="Z184" i="47" s="1"/>
  <c r="AB184" i="47" s="1"/>
  <c r="AD184" i="47"/>
  <c r="AF184" i="47" s="1"/>
  <c r="AG184" i="47" s="1"/>
  <c r="AD183" i="47"/>
  <c r="AF183" i="47" s="1"/>
  <c r="AG183" i="47" s="1"/>
  <c r="V183" i="47"/>
  <c r="Y183" i="47" s="1"/>
  <c r="Z183" i="47" s="1"/>
  <c r="AB183" i="47" s="1"/>
  <c r="AD170" i="47"/>
  <c r="AF170" i="47" s="1"/>
  <c r="AG170" i="47" s="1"/>
  <c r="V170" i="47"/>
  <c r="Y170" i="47" s="1"/>
  <c r="Z170" i="47" s="1"/>
  <c r="AB170" i="47" s="1"/>
  <c r="AD164" i="47"/>
  <c r="AF164" i="47" s="1"/>
  <c r="AG164" i="47" s="1"/>
  <c r="V164" i="47"/>
  <c r="Y164" i="47" s="1"/>
  <c r="Z164" i="47" s="1"/>
  <c r="AB164" i="47" s="1"/>
  <c r="AD151" i="47"/>
  <c r="AF151" i="47" s="1"/>
  <c r="AG151" i="47" s="1"/>
  <c r="V151" i="47"/>
  <c r="Y151" i="47" s="1"/>
  <c r="Z151" i="47" s="1"/>
  <c r="AB151" i="47" s="1"/>
  <c r="AD137" i="47"/>
  <c r="AF137" i="47" s="1"/>
  <c r="AG137" i="47" s="1"/>
  <c r="V137" i="47"/>
  <c r="Y137" i="47" s="1"/>
  <c r="Z137" i="47" s="1"/>
  <c r="AB137" i="47" s="1"/>
  <c r="V167" i="47"/>
  <c r="Y167" i="47" s="1"/>
  <c r="Z167" i="47" s="1"/>
  <c r="AB167" i="47" s="1"/>
  <c r="AD167" i="47"/>
  <c r="AF167" i="47" s="1"/>
  <c r="AG167" i="47" s="1"/>
  <c r="AD149" i="47"/>
  <c r="AF149" i="47" s="1"/>
  <c r="AG149" i="47" s="1"/>
  <c r="V149" i="47"/>
  <c r="Y149" i="47" s="1"/>
  <c r="Z149" i="47" s="1"/>
  <c r="AB149" i="47" s="1"/>
  <c r="AD85" i="47"/>
  <c r="AF85" i="47" s="1"/>
  <c r="AG85" i="47" s="1"/>
  <c r="V85" i="47"/>
  <c r="Y85" i="47" s="1"/>
  <c r="Z85" i="47" s="1"/>
  <c r="AB85" i="47" s="1"/>
  <c r="AD101" i="47"/>
  <c r="AF101" i="47" s="1"/>
  <c r="AG101" i="47" s="1"/>
  <c r="V101" i="47"/>
  <c r="Y101" i="47" s="1"/>
  <c r="Z101" i="47" s="1"/>
  <c r="AB101" i="47" s="1"/>
  <c r="AD106" i="47"/>
  <c r="AF106" i="47" s="1"/>
  <c r="AG106" i="47" s="1"/>
  <c r="V106" i="47"/>
  <c r="Y106" i="47" s="1"/>
  <c r="Z106" i="47" s="1"/>
  <c r="AB106" i="47" s="1"/>
  <c r="AD95" i="47"/>
  <c r="AF95" i="47" s="1"/>
  <c r="AG95" i="47" s="1"/>
  <c r="V95" i="47"/>
  <c r="Y95" i="47" s="1"/>
  <c r="Z95" i="47" s="1"/>
  <c r="AB95" i="47" s="1"/>
  <c r="V57" i="47"/>
  <c r="Y57" i="47" s="1"/>
  <c r="Z57" i="47" s="1"/>
  <c r="AB57" i="47" s="1"/>
  <c r="AD57" i="47"/>
  <c r="AF57" i="47" s="1"/>
  <c r="AG57" i="47" s="1"/>
  <c r="AD14" i="47"/>
  <c r="AF14" i="47" s="1"/>
  <c r="AG14" i="47" s="1"/>
  <c r="V14" i="47"/>
  <c r="Y14" i="47" s="1"/>
  <c r="Z14" i="47" s="1"/>
  <c r="AB14" i="47" s="1"/>
  <c r="V21" i="47"/>
  <c r="Y21" i="47" s="1"/>
  <c r="Z21" i="47" s="1"/>
  <c r="AB21" i="47" s="1"/>
  <c r="AD21" i="47"/>
  <c r="AF21" i="47" s="1"/>
  <c r="AG21" i="47" s="1"/>
  <c r="AD20" i="47"/>
  <c r="AF20" i="47" s="1"/>
  <c r="AG20" i="47" s="1"/>
  <c r="V20" i="47"/>
  <c r="Y20" i="47" s="1"/>
  <c r="Z20" i="47" s="1"/>
  <c r="AB20" i="47" s="1"/>
  <c r="V72" i="47"/>
  <c r="Y72" i="47" s="1"/>
  <c r="Z72" i="47" s="1"/>
  <c r="AB72" i="47" s="1"/>
  <c r="AD72" i="47"/>
  <c r="AF72" i="47" s="1"/>
  <c r="AG72" i="47" s="1"/>
  <c r="AD56" i="47"/>
  <c r="AF56" i="47" s="1"/>
  <c r="AG56" i="47" s="1"/>
  <c r="V56" i="47"/>
  <c r="Y56" i="47" s="1"/>
  <c r="Z56" i="47" s="1"/>
  <c r="AB56" i="47" s="1"/>
  <c r="AD48" i="47"/>
  <c r="AF48" i="47" s="1"/>
  <c r="AG48" i="47" s="1"/>
  <c r="V48" i="47"/>
  <c r="Y48" i="47" s="1"/>
  <c r="Z48" i="47" s="1"/>
  <c r="AB48" i="47" s="1"/>
  <c r="V68" i="47"/>
  <c r="Y68" i="47" s="1"/>
  <c r="Z68" i="47" s="1"/>
  <c r="AB68" i="47" s="1"/>
  <c r="AD68" i="47"/>
  <c r="AF68" i="47" s="1"/>
  <c r="AG68" i="47" s="1"/>
  <c r="AD246" i="47"/>
  <c r="AF246" i="47" s="1"/>
  <c r="AG246" i="47" s="1"/>
  <c r="V246" i="47"/>
  <c r="Y246" i="47" s="1"/>
  <c r="Z246" i="47" s="1"/>
  <c r="AB246" i="47" s="1"/>
  <c r="AD236" i="47"/>
  <c r="AF236" i="47" s="1"/>
  <c r="AG236" i="47" s="1"/>
  <c r="V236" i="47"/>
  <c r="Y236" i="47" s="1"/>
  <c r="Z236" i="47" s="1"/>
  <c r="AB236" i="47" s="1"/>
  <c r="AD205" i="47"/>
  <c r="AF205" i="47" s="1"/>
  <c r="AG205" i="47" s="1"/>
  <c r="V205" i="47"/>
  <c r="Y205" i="47" s="1"/>
  <c r="Z205" i="47" s="1"/>
  <c r="AB205" i="47" s="1"/>
  <c r="AD190" i="47"/>
  <c r="AF190" i="47" s="1"/>
  <c r="AG190" i="47" s="1"/>
  <c r="V190" i="47"/>
  <c r="Y190" i="47" s="1"/>
  <c r="Z190" i="47" s="1"/>
  <c r="AB190" i="47" s="1"/>
  <c r="AD249" i="47"/>
  <c r="AF249" i="47" s="1"/>
  <c r="AG249" i="47" s="1"/>
  <c r="V249" i="47"/>
  <c r="Y249" i="47" s="1"/>
  <c r="Z249" i="47" s="1"/>
  <c r="AB249" i="47" s="1"/>
  <c r="AD245" i="47"/>
  <c r="AF245" i="47" s="1"/>
  <c r="AG245" i="47" s="1"/>
  <c r="V245" i="47"/>
  <c r="Y245" i="47" s="1"/>
  <c r="Z245" i="47" s="1"/>
  <c r="AB245" i="47" s="1"/>
  <c r="AD247" i="47"/>
  <c r="AF247" i="47" s="1"/>
  <c r="AG247" i="47" s="1"/>
  <c r="V247" i="47"/>
  <c r="Y247" i="47" s="1"/>
  <c r="Z247" i="47" s="1"/>
  <c r="AB247" i="47" s="1"/>
  <c r="AD242" i="47"/>
  <c r="AF242" i="47" s="1"/>
  <c r="AG242" i="47" s="1"/>
  <c r="V242" i="47"/>
  <c r="Y242" i="47" s="1"/>
  <c r="Z242" i="47" s="1"/>
  <c r="AB242" i="47" s="1"/>
  <c r="V212" i="47"/>
  <c r="Y212" i="47" s="1"/>
  <c r="Z212" i="47" s="1"/>
  <c r="AB212" i="47" s="1"/>
  <c r="AD212" i="47"/>
  <c r="AF212" i="47" s="1"/>
  <c r="AG212" i="47" s="1"/>
  <c r="V204" i="47"/>
  <c r="Y204" i="47" s="1"/>
  <c r="Z204" i="47" s="1"/>
  <c r="AB204" i="47" s="1"/>
  <c r="AD204" i="47"/>
  <c r="AF204" i="47" s="1"/>
  <c r="AG204" i="47" s="1"/>
  <c r="AD207" i="47"/>
  <c r="AF207" i="47" s="1"/>
  <c r="AG207" i="47" s="1"/>
  <c r="V207" i="47"/>
  <c r="Y207" i="47" s="1"/>
  <c r="Z207" i="47" s="1"/>
  <c r="AB207" i="47" s="1"/>
  <c r="AD199" i="47"/>
  <c r="AF199" i="47" s="1"/>
  <c r="AG199" i="47" s="1"/>
  <c r="V199" i="47"/>
  <c r="Y199" i="47" s="1"/>
  <c r="Z199" i="47" s="1"/>
  <c r="AB199" i="47" s="1"/>
  <c r="AD182" i="47"/>
  <c r="AF182" i="47" s="1"/>
  <c r="AG182" i="47" s="1"/>
  <c r="V182" i="47"/>
  <c r="Y182" i="47" s="1"/>
  <c r="Z182" i="47" s="1"/>
  <c r="AB182" i="47" s="1"/>
  <c r="V185" i="47"/>
  <c r="Y185" i="47" s="1"/>
  <c r="Z185" i="47" s="1"/>
  <c r="AB185" i="47" s="1"/>
  <c r="AD185" i="47"/>
  <c r="AF185" i="47" s="1"/>
  <c r="AG185" i="47" s="1"/>
  <c r="AD148" i="47"/>
  <c r="AF148" i="47" s="1"/>
  <c r="AG148" i="47" s="1"/>
  <c r="V148" i="47"/>
  <c r="Y148" i="47" s="1"/>
  <c r="Z148" i="47" s="1"/>
  <c r="AB148" i="47" s="1"/>
  <c r="AD134" i="47"/>
  <c r="V134" i="47"/>
  <c r="Y134" i="47" s="1"/>
  <c r="Z134" i="47" s="1"/>
  <c r="AB134" i="47" s="1"/>
  <c r="V169" i="47"/>
  <c r="Y169" i="47" s="1"/>
  <c r="Z169" i="47" s="1"/>
  <c r="AB169" i="47" s="1"/>
  <c r="AD169" i="47"/>
  <c r="AF169" i="47" s="1"/>
  <c r="AG169" i="47" s="1"/>
  <c r="V156" i="47"/>
  <c r="Y156" i="47" s="1"/>
  <c r="Z156" i="47" s="1"/>
  <c r="AB156" i="47" s="1"/>
  <c r="AD156" i="47"/>
  <c r="AF156" i="47" s="1"/>
  <c r="AG156" i="47" s="1"/>
  <c r="V150" i="47"/>
  <c r="Y150" i="47" s="1"/>
  <c r="Z150" i="47" s="1"/>
  <c r="AB150" i="47" s="1"/>
  <c r="AD150" i="47"/>
  <c r="AF150" i="47" s="1"/>
  <c r="AG150" i="47" s="1"/>
  <c r="V140" i="47"/>
  <c r="Y140" i="47" s="1"/>
  <c r="Z140" i="47" s="1"/>
  <c r="AB140" i="47" s="1"/>
  <c r="AD140" i="47"/>
  <c r="AF140" i="47" s="1"/>
  <c r="AG140" i="47" s="1"/>
  <c r="V133" i="47"/>
  <c r="Y133" i="47" s="1"/>
  <c r="Z133" i="47" s="1"/>
  <c r="AB133" i="47" s="1"/>
  <c r="AD133" i="47"/>
  <c r="AF133" i="47" s="1"/>
  <c r="AG133" i="47" s="1"/>
  <c r="AD175" i="47"/>
  <c r="AF175" i="47" s="1"/>
  <c r="AG175" i="47" s="1"/>
  <c r="V175" i="47"/>
  <c r="Y175" i="47" s="1"/>
  <c r="Z175" i="47" s="1"/>
  <c r="AB175" i="47" s="1"/>
  <c r="AD158" i="47"/>
  <c r="AF158" i="47" s="1"/>
  <c r="AG158" i="47" s="1"/>
  <c r="V158" i="47"/>
  <c r="Y158" i="47" s="1"/>
  <c r="Z158" i="47" s="1"/>
  <c r="AB158" i="47" s="1"/>
  <c r="AD136" i="47"/>
  <c r="AF136" i="47" s="1"/>
  <c r="AG136" i="47" s="1"/>
  <c r="V136" i="47"/>
  <c r="Y136" i="47" s="1"/>
  <c r="Z136" i="47" s="1"/>
  <c r="AB136" i="47" s="1"/>
  <c r="AD81" i="47"/>
  <c r="AF81" i="47" s="1"/>
  <c r="AG81" i="47" s="1"/>
  <c r="V81" i="47"/>
  <c r="Y81" i="47" s="1"/>
  <c r="Z81" i="47" s="1"/>
  <c r="AB81" i="47" s="1"/>
  <c r="AD114" i="47"/>
  <c r="AF114" i="47" s="1"/>
  <c r="AG114" i="47" s="1"/>
  <c r="V114" i="47"/>
  <c r="Y114" i="47" s="1"/>
  <c r="Z114" i="47" s="1"/>
  <c r="AB114" i="47" s="1"/>
  <c r="AD99" i="47"/>
  <c r="AF99" i="47" s="1"/>
  <c r="AG99" i="47" s="1"/>
  <c r="V99" i="47"/>
  <c r="Y99" i="47" s="1"/>
  <c r="Z99" i="47" s="1"/>
  <c r="AB99" i="47" s="1"/>
  <c r="AD124" i="47"/>
  <c r="AF124" i="47" s="1"/>
  <c r="AG124" i="47" s="1"/>
  <c r="V124" i="47"/>
  <c r="Y124" i="47" s="1"/>
  <c r="Z124" i="47" s="1"/>
  <c r="AB124" i="47" s="1"/>
  <c r="AD113" i="47"/>
  <c r="AF113" i="47" s="1"/>
  <c r="AG113" i="47" s="1"/>
  <c r="V113" i="47"/>
  <c r="Y113" i="47" s="1"/>
  <c r="Z113" i="47" s="1"/>
  <c r="AB113" i="47" s="1"/>
  <c r="AD105" i="47"/>
  <c r="AF105" i="47" s="1"/>
  <c r="AG105" i="47" s="1"/>
  <c r="V105" i="47"/>
  <c r="Y105" i="47" s="1"/>
  <c r="Z105" i="47" s="1"/>
  <c r="AB105" i="47" s="1"/>
  <c r="AD98" i="47"/>
  <c r="AF98" i="47" s="1"/>
  <c r="AG98" i="47" s="1"/>
  <c r="V98" i="47"/>
  <c r="Y98" i="47" s="1"/>
  <c r="Z98" i="47" s="1"/>
  <c r="AB98" i="47" s="1"/>
  <c r="AD82" i="47"/>
  <c r="AF82" i="47" s="1"/>
  <c r="AG82" i="47" s="1"/>
  <c r="V82" i="47"/>
  <c r="Y82" i="47" s="1"/>
  <c r="Z82" i="47" s="1"/>
  <c r="AB82" i="47" s="1"/>
  <c r="AD77" i="47"/>
  <c r="AF77" i="47" s="1"/>
  <c r="AG77" i="47" s="1"/>
  <c r="V77" i="47"/>
  <c r="Y77" i="47" s="1"/>
  <c r="Z77" i="47" s="1"/>
  <c r="AB77" i="47" s="1"/>
  <c r="V49" i="47"/>
  <c r="Y49" i="47" s="1"/>
  <c r="Z49" i="47" s="1"/>
  <c r="AB49" i="47" s="1"/>
  <c r="AD49" i="47"/>
  <c r="AF49" i="47" s="1"/>
  <c r="AG49" i="47" s="1"/>
  <c r="AD63" i="47"/>
  <c r="AF63" i="47" s="1"/>
  <c r="AG63" i="47" s="1"/>
  <c r="V63" i="47"/>
  <c r="Y63" i="47" s="1"/>
  <c r="Z63" i="47" s="1"/>
  <c r="AB63" i="47" s="1"/>
  <c r="AD44" i="47"/>
  <c r="AF44" i="47" s="1"/>
  <c r="AG44" i="47" s="1"/>
  <c r="V44" i="47"/>
  <c r="Y44" i="47" s="1"/>
  <c r="Z44" i="47" s="1"/>
  <c r="AB44" i="47" s="1"/>
  <c r="AD24" i="47"/>
  <c r="AF24" i="47" s="1"/>
  <c r="AG24" i="47" s="1"/>
  <c r="V24" i="47"/>
  <c r="Y24" i="47" s="1"/>
  <c r="Z24" i="47" s="1"/>
  <c r="AB24" i="47" s="1"/>
  <c r="AD46" i="47"/>
  <c r="AF46" i="47" s="1"/>
  <c r="AG46" i="47" s="1"/>
  <c r="V46" i="47"/>
  <c r="Y46" i="47" s="1"/>
  <c r="Z46" i="47" s="1"/>
  <c r="AB46" i="47" s="1"/>
  <c r="AD108" i="47"/>
  <c r="AF108" i="47" s="1"/>
  <c r="AG108" i="47" s="1"/>
  <c r="V108" i="47"/>
  <c r="Y108" i="47" s="1"/>
  <c r="Z108" i="47" s="1"/>
  <c r="AB108" i="47" s="1"/>
  <c r="V60" i="47"/>
  <c r="Y60" i="47" s="1"/>
  <c r="Z60" i="47" s="1"/>
  <c r="AB60" i="47" s="1"/>
  <c r="AD60" i="47"/>
  <c r="AF60" i="47" s="1"/>
  <c r="AG60" i="47" s="1"/>
  <c r="AD10" i="47"/>
  <c r="AF10" i="47" s="1"/>
  <c r="AG10" i="47" s="1"/>
  <c r="V10" i="47"/>
  <c r="Y10" i="47" s="1"/>
  <c r="Z10" i="47" s="1"/>
  <c r="AB10" i="47" s="1"/>
  <c r="AD8" i="47"/>
  <c r="AF8" i="47" s="1"/>
  <c r="AG8" i="47" s="1"/>
  <c r="V8" i="47"/>
  <c r="Y8" i="47" s="1"/>
  <c r="Z8" i="47" s="1"/>
  <c r="AB8" i="47" s="1"/>
  <c r="AD42" i="47"/>
  <c r="AF42" i="47" s="1"/>
  <c r="AG42" i="47" s="1"/>
  <c r="V42" i="47"/>
  <c r="Y42" i="47" s="1"/>
  <c r="Z42" i="47" s="1"/>
  <c r="AB42" i="47" s="1"/>
  <c r="V71" i="47"/>
  <c r="Y71" i="47" s="1"/>
  <c r="Z71" i="47" s="1"/>
  <c r="AB71" i="47" s="1"/>
  <c r="AD71" i="47"/>
  <c r="AF71" i="47" s="1"/>
  <c r="AG71" i="47" s="1"/>
  <c r="AD241" i="47"/>
  <c r="AF241" i="47" s="1"/>
  <c r="AG241" i="47" s="1"/>
  <c r="V241" i="47"/>
  <c r="Y241" i="47" s="1"/>
  <c r="Z241" i="47" s="1"/>
  <c r="AB241" i="47" s="1"/>
  <c r="V225" i="47"/>
  <c r="Y225" i="47" s="1"/>
  <c r="Z225" i="47" s="1"/>
  <c r="AB225" i="47" s="1"/>
  <c r="AD225" i="47"/>
  <c r="AF225" i="47" s="1"/>
  <c r="AG225" i="47" s="1"/>
  <c r="V196" i="47"/>
  <c r="Y196" i="47" s="1"/>
  <c r="Z196" i="47" s="1"/>
  <c r="AB196" i="47" s="1"/>
  <c r="AD196" i="47"/>
  <c r="AF196" i="47" s="1"/>
  <c r="AG196" i="47" s="1"/>
  <c r="V218" i="47"/>
  <c r="Y218" i="47" s="1"/>
  <c r="Z218" i="47" s="1"/>
  <c r="AB218" i="47" s="1"/>
  <c r="AD218" i="47"/>
  <c r="AF218" i="47" s="1"/>
  <c r="AG218" i="47" s="1"/>
  <c r="AD220" i="47"/>
  <c r="AF220" i="47" s="1"/>
  <c r="AG220" i="47" s="1"/>
  <c r="V220" i="47"/>
  <c r="Y220" i="47" s="1"/>
  <c r="Z220" i="47" s="1"/>
  <c r="AB220" i="47" s="1"/>
  <c r="AD178" i="47"/>
  <c r="AF178" i="47" s="1"/>
  <c r="AG178" i="47" s="1"/>
  <c r="V178" i="47"/>
  <c r="Y178" i="47" s="1"/>
  <c r="Z178" i="47" s="1"/>
  <c r="AB178" i="47" s="1"/>
  <c r="AD172" i="47"/>
  <c r="AF172" i="47" s="1"/>
  <c r="AG172" i="47" s="1"/>
  <c r="V172" i="47"/>
  <c r="Y172" i="47" s="1"/>
  <c r="Z172" i="47" s="1"/>
  <c r="AB172" i="47" s="1"/>
  <c r="AD144" i="47"/>
  <c r="V144" i="47"/>
  <c r="AD130" i="47"/>
  <c r="AF130" i="47" s="1"/>
  <c r="AG130" i="47" s="1"/>
  <c r="V130" i="47"/>
  <c r="Y130" i="47" s="1"/>
  <c r="Z130" i="47" s="1"/>
  <c r="AB130" i="47" s="1"/>
  <c r="V162" i="47"/>
  <c r="Y162" i="47" s="1"/>
  <c r="Z162" i="47" s="1"/>
  <c r="AB162" i="47" s="1"/>
  <c r="AD162" i="47"/>
  <c r="AF162" i="47" s="1"/>
  <c r="AG162" i="47" s="1"/>
  <c r="V143" i="47"/>
  <c r="Y143" i="47" s="1"/>
  <c r="Z143" i="47" s="1"/>
  <c r="AB143" i="47" s="1"/>
  <c r="AD143" i="47"/>
  <c r="AF143" i="47" s="1"/>
  <c r="AG143" i="47" s="1"/>
  <c r="AD117" i="47"/>
  <c r="AF117" i="47" s="1"/>
  <c r="AG117" i="47" s="1"/>
  <c r="V117" i="47"/>
  <c r="Y117" i="47" s="1"/>
  <c r="Z117" i="47" s="1"/>
  <c r="AB117" i="47" s="1"/>
  <c r="AD74" i="47"/>
  <c r="AF74" i="47" s="1"/>
  <c r="AG74" i="47" s="1"/>
  <c r="V74" i="47"/>
  <c r="Y74" i="47" s="1"/>
  <c r="Z74" i="47" s="1"/>
  <c r="AB74" i="47" s="1"/>
  <c r="V75" i="47"/>
  <c r="Y75" i="47" s="1"/>
  <c r="Z75" i="47" s="1"/>
  <c r="AB75" i="47" s="1"/>
  <c r="AD75" i="47"/>
  <c r="AF75" i="47" s="1"/>
  <c r="AG75" i="47" s="1"/>
  <c r="AD28" i="47"/>
  <c r="AF28" i="47" s="1"/>
  <c r="AG28" i="47" s="1"/>
  <c r="V28" i="47"/>
  <c r="Y28" i="47" s="1"/>
  <c r="Z28" i="47" s="1"/>
  <c r="AB28" i="47" s="1"/>
  <c r="AD73" i="47"/>
  <c r="AF73" i="47" s="1"/>
  <c r="AG73" i="47" s="1"/>
  <c r="V73" i="47"/>
  <c r="Y73" i="47" s="1"/>
  <c r="Z73" i="47" s="1"/>
  <c r="AB73" i="47" s="1"/>
  <c r="V79" i="47"/>
  <c r="Y79" i="47" s="1"/>
  <c r="Z79" i="47" s="1"/>
  <c r="AB79" i="47" s="1"/>
  <c r="AD79" i="47"/>
  <c r="AF79" i="47" s="1"/>
  <c r="AG79" i="47" s="1"/>
  <c r="AD70" i="47"/>
  <c r="AF70" i="47" s="1"/>
  <c r="AG70" i="47" s="1"/>
  <c r="V70" i="47"/>
  <c r="Y70" i="47" s="1"/>
  <c r="Z70" i="47" s="1"/>
  <c r="AB70" i="47" s="1"/>
  <c r="AD54" i="47"/>
  <c r="AF54" i="47" s="1"/>
  <c r="AG54" i="47" s="1"/>
  <c r="V54" i="47"/>
  <c r="Y54" i="47" s="1"/>
  <c r="Z54" i="47" s="1"/>
  <c r="AB54" i="47" s="1"/>
  <c r="AD38" i="47"/>
  <c r="AF38" i="47" s="1"/>
  <c r="AG38" i="47" s="1"/>
  <c r="V38" i="47"/>
  <c r="Y38" i="47" s="1"/>
  <c r="Z38" i="47" s="1"/>
  <c r="AB38" i="47" s="1"/>
  <c r="AD118" i="47"/>
  <c r="AF118" i="47" s="1"/>
  <c r="AG118" i="47" s="1"/>
  <c r="V118" i="47"/>
  <c r="Y118" i="47" s="1"/>
  <c r="Z118" i="47" s="1"/>
  <c r="AB118" i="47" s="1"/>
  <c r="AD86" i="47"/>
  <c r="AF86" i="47" s="1"/>
  <c r="AG86" i="47" s="1"/>
  <c r="V86" i="47"/>
  <c r="Y86" i="47" s="1"/>
  <c r="Z86" i="47" s="1"/>
  <c r="AB86" i="47" s="1"/>
  <c r="V53" i="47"/>
  <c r="Y53" i="47" s="1"/>
  <c r="Z53" i="47" s="1"/>
  <c r="AB53" i="47" s="1"/>
  <c r="AD53" i="47"/>
  <c r="AF53" i="47" s="1"/>
  <c r="AG53" i="47" s="1"/>
  <c r="V45" i="47"/>
  <c r="Y45" i="47" s="1"/>
  <c r="Z45" i="47" s="1"/>
  <c r="AB45" i="47" s="1"/>
  <c r="AD45" i="47"/>
  <c r="AF45" i="47" s="1"/>
  <c r="AG45" i="47" s="1"/>
  <c r="V37" i="47"/>
  <c r="Y37" i="47" s="1"/>
  <c r="Z37" i="47" s="1"/>
  <c r="AB37" i="47" s="1"/>
  <c r="AD37" i="47"/>
  <c r="AF37" i="47" s="1"/>
  <c r="AG37" i="47" s="1"/>
  <c r="V18" i="47"/>
  <c r="Y18" i="47" s="1"/>
  <c r="Z18" i="47" s="1"/>
  <c r="AB18" i="47" s="1"/>
  <c r="AD18" i="47"/>
  <c r="AF18" i="47" s="1"/>
  <c r="AG18" i="47" s="1"/>
  <c r="V30" i="47"/>
  <c r="Y30" i="47" s="1"/>
  <c r="Z30" i="47" s="1"/>
  <c r="AB30" i="47" s="1"/>
  <c r="AD30" i="47"/>
  <c r="AF30" i="47" s="1"/>
  <c r="AG30" i="47" s="1"/>
  <c r="V13" i="47"/>
  <c r="Y13" i="47" s="1"/>
  <c r="Z13" i="47" s="1"/>
  <c r="AB13" i="47" s="1"/>
  <c r="AD13" i="47"/>
  <c r="AF13" i="47" s="1"/>
  <c r="AG13" i="47" s="1"/>
  <c r="AD121" i="47"/>
  <c r="AF121" i="47" s="1"/>
  <c r="AG121" i="47" s="1"/>
  <c r="V121" i="47"/>
  <c r="Y121" i="47" s="1"/>
  <c r="Z121" i="47" s="1"/>
  <c r="AB121" i="47" s="1"/>
  <c r="V17" i="47"/>
  <c r="Y17" i="47" s="1"/>
  <c r="Z17" i="47" s="1"/>
  <c r="AB17" i="47" s="1"/>
  <c r="AD17" i="47"/>
  <c r="AF17" i="47" s="1"/>
  <c r="AG17" i="47" s="1"/>
  <c r="AD219" i="47"/>
  <c r="AF219" i="47" s="1"/>
  <c r="AG219" i="47" s="1"/>
  <c r="V219" i="47"/>
  <c r="Y219" i="47" s="1"/>
  <c r="Z219" i="47" s="1"/>
  <c r="AB219" i="47" s="1"/>
  <c r="V231" i="47"/>
  <c r="Y231" i="47" s="1"/>
  <c r="Z231" i="47" s="1"/>
  <c r="AB231" i="47" s="1"/>
  <c r="AD231" i="47"/>
  <c r="AF231" i="47" s="1"/>
  <c r="AG231" i="47" s="1"/>
  <c r="AD188" i="47"/>
  <c r="AF188" i="47" s="1"/>
  <c r="AG188" i="47" s="1"/>
  <c r="V188" i="47"/>
  <c r="Y188" i="47" s="1"/>
  <c r="Z188" i="47" s="1"/>
  <c r="AB188" i="47" s="1"/>
  <c r="AD195" i="47"/>
  <c r="AF195" i="47" s="1"/>
  <c r="AG195" i="47" s="1"/>
  <c r="V195" i="47"/>
  <c r="Y195" i="47" s="1"/>
  <c r="Z195" i="47" s="1"/>
  <c r="AB195" i="47" s="1"/>
  <c r="V240" i="47"/>
  <c r="Y240" i="47" s="1"/>
  <c r="Z240" i="47" s="1"/>
  <c r="AB240" i="47" s="1"/>
  <c r="AD240" i="47"/>
  <c r="AF240" i="47" s="1"/>
  <c r="AG240" i="47" s="1"/>
  <c r="V215" i="47"/>
  <c r="Y215" i="47" s="1"/>
  <c r="Z215" i="47" s="1"/>
  <c r="AB215" i="47" s="1"/>
  <c r="AD215" i="47"/>
  <c r="AF215" i="47" s="1"/>
  <c r="AG215" i="47" s="1"/>
  <c r="AD213" i="47"/>
  <c r="AF213" i="47" s="1"/>
  <c r="AG213" i="47" s="1"/>
  <c r="V213" i="47"/>
  <c r="Y213" i="47" s="1"/>
  <c r="Z213" i="47" s="1"/>
  <c r="AB213" i="47" s="1"/>
  <c r="AD214" i="47"/>
  <c r="AF214" i="47" s="1"/>
  <c r="AG214" i="47" s="1"/>
  <c r="V214" i="47"/>
  <c r="Y214" i="47" s="1"/>
  <c r="Z214" i="47" s="1"/>
  <c r="AB214" i="47" s="1"/>
  <c r="AD187" i="47"/>
  <c r="AF187" i="47" s="1"/>
  <c r="AG187" i="47" s="1"/>
  <c r="V187" i="47"/>
  <c r="Y187" i="47" s="1"/>
  <c r="Z187" i="47" s="1"/>
  <c r="AB187" i="47" s="1"/>
  <c r="AD166" i="47"/>
  <c r="AF166" i="47" s="1"/>
  <c r="AG166" i="47" s="1"/>
  <c r="V166" i="47"/>
  <c r="Y166" i="47" s="1"/>
  <c r="Z166" i="47" s="1"/>
  <c r="AB166" i="47" s="1"/>
  <c r="V115" i="47"/>
  <c r="Y115" i="47" s="1"/>
  <c r="Z115" i="47" s="1"/>
  <c r="AB115" i="47" s="1"/>
  <c r="AD115" i="47"/>
  <c r="AF115" i="47" s="1"/>
  <c r="AG115" i="47" s="1"/>
  <c r="V80" i="47"/>
  <c r="Y80" i="47" s="1"/>
  <c r="Z80" i="47" s="1"/>
  <c r="AB80" i="47" s="1"/>
  <c r="AD80" i="47"/>
  <c r="AF80" i="47" s="1"/>
  <c r="AG80" i="47" s="1"/>
  <c r="V41" i="47"/>
  <c r="Y41" i="47" s="1"/>
  <c r="Z41" i="47" s="1"/>
  <c r="AB41" i="47" s="1"/>
  <c r="AD41" i="47"/>
  <c r="AF41" i="47" s="1"/>
  <c r="AG41" i="47" s="1"/>
  <c r="V34" i="47"/>
  <c r="Y34" i="47" s="1"/>
  <c r="Z34" i="47" s="1"/>
  <c r="AB34" i="47" s="1"/>
  <c r="AD34" i="47"/>
  <c r="AF34" i="47" s="1"/>
  <c r="AG34" i="47" s="1"/>
  <c r="V76" i="47"/>
  <c r="Y76" i="47" s="1"/>
  <c r="Z76" i="47" s="1"/>
  <c r="AB76" i="47" s="1"/>
  <c r="AD76" i="47"/>
  <c r="AF76" i="47" s="1"/>
  <c r="AG76" i="47" s="1"/>
  <c r="AD50" i="47"/>
  <c r="AF50" i="47" s="1"/>
  <c r="AG50" i="47" s="1"/>
  <c r="V50" i="47"/>
  <c r="Y50" i="47" s="1"/>
  <c r="Z50" i="47" s="1"/>
  <c r="AB50" i="47" s="1"/>
  <c r="AD35" i="47"/>
  <c r="AF35" i="47" s="1"/>
  <c r="AG35" i="47" s="1"/>
  <c r="V35" i="47"/>
  <c r="Y35" i="47" s="1"/>
  <c r="Z35" i="47" s="1"/>
  <c r="AB35" i="47" s="1"/>
  <c r="AD110" i="47"/>
  <c r="AF110" i="47" s="1"/>
  <c r="AG110" i="47" s="1"/>
  <c r="V110" i="47"/>
  <c r="Y110" i="47" s="1"/>
  <c r="Z110" i="47" s="1"/>
  <c r="AB110" i="47" s="1"/>
  <c r="AD26" i="47"/>
  <c r="AF26" i="47" s="1"/>
  <c r="AG26" i="47" s="1"/>
  <c r="V26" i="47"/>
  <c r="Y26" i="47" s="1"/>
  <c r="Z26" i="47" s="1"/>
  <c r="AB26" i="47" s="1"/>
  <c r="AD52" i="47"/>
  <c r="AF52" i="47" s="1"/>
  <c r="AG52" i="47" s="1"/>
  <c r="V52" i="47"/>
  <c r="Y52" i="47" s="1"/>
  <c r="Z52" i="47" s="1"/>
  <c r="AB52" i="47" s="1"/>
  <c r="AD36" i="47"/>
  <c r="AF36" i="47" s="1"/>
  <c r="AG36" i="47" s="1"/>
  <c r="V36" i="47"/>
  <c r="Y36" i="47" s="1"/>
  <c r="Z36" i="47" s="1"/>
  <c r="AB36" i="47" s="1"/>
  <c r="V29" i="47"/>
  <c r="Y29" i="47" s="1"/>
  <c r="Z29" i="47" s="1"/>
  <c r="AB29" i="47" s="1"/>
  <c r="AD29" i="47"/>
  <c r="AF29" i="47" s="1"/>
  <c r="AG29" i="47" s="1"/>
  <c r="V237" i="47"/>
  <c r="Y237" i="47" s="1"/>
  <c r="Z237" i="47" s="1"/>
  <c r="AB237" i="47" s="1"/>
  <c r="AD237" i="47"/>
  <c r="AF237" i="47" s="1"/>
  <c r="AG237" i="47" s="1"/>
  <c r="V210" i="47"/>
  <c r="Y210" i="47" s="1"/>
  <c r="Z210" i="47" s="1"/>
  <c r="AB210" i="47" s="1"/>
  <c r="AD210" i="47"/>
  <c r="AF210" i="47" s="1"/>
  <c r="AG210" i="47" s="1"/>
  <c r="V189" i="47"/>
  <c r="Y189" i="47" s="1"/>
  <c r="Z189" i="47" s="1"/>
  <c r="AB189" i="47" s="1"/>
  <c r="AD189" i="47"/>
  <c r="AF189" i="47" s="1"/>
  <c r="AG189" i="47" s="1"/>
  <c r="V244" i="47"/>
  <c r="Y244" i="47" s="1"/>
  <c r="Z244" i="47" s="1"/>
  <c r="AB244" i="47" s="1"/>
  <c r="AD244" i="47"/>
  <c r="AF244" i="47" s="1"/>
  <c r="AG244" i="47" s="1"/>
  <c r="V233" i="47"/>
  <c r="Y233" i="47" s="1"/>
  <c r="Z233" i="47" s="1"/>
  <c r="AB233" i="47" s="1"/>
  <c r="AD233" i="47"/>
  <c r="AF233" i="47" s="1"/>
  <c r="AG233" i="47" s="1"/>
  <c r="AD230" i="47"/>
  <c r="AF230" i="47" s="1"/>
  <c r="AG230" i="47" s="1"/>
  <c r="V230" i="47"/>
  <c r="Y230" i="47" s="1"/>
  <c r="Z230" i="47" s="1"/>
  <c r="AB230" i="47" s="1"/>
  <c r="V228" i="47"/>
  <c r="Y228" i="47" s="1"/>
  <c r="Z228" i="47" s="1"/>
  <c r="AB228" i="47" s="1"/>
  <c r="AD228" i="47"/>
  <c r="AF228" i="47" s="1"/>
  <c r="AG228" i="47" s="1"/>
  <c r="V229" i="47"/>
  <c r="Y229" i="47" s="1"/>
  <c r="Z229" i="47" s="1"/>
  <c r="AB229" i="47" s="1"/>
  <c r="AD229" i="47"/>
  <c r="AF229" i="47" s="1"/>
  <c r="AG229" i="47" s="1"/>
  <c r="AD191" i="47"/>
  <c r="AF191" i="47" s="1"/>
  <c r="AG191" i="47" s="1"/>
  <c r="V191" i="47"/>
  <c r="Y191" i="47" s="1"/>
  <c r="Z191" i="47" s="1"/>
  <c r="AB191" i="47" s="1"/>
  <c r="V174" i="47"/>
  <c r="Y174" i="47" s="1"/>
  <c r="Z174" i="47" s="1"/>
  <c r="AB174" i="47" s="1"/>
  <c r="AD174" i="47"/>
  <c r="AF174" i="47" s="1"/>
  <c r="AG174" i="47" s="1"/>
  <c r="AF134" i="47"/>
  <c r="AG134" i="47" s="1"/>
  <c r="AD127" i="47"/>
  <c r="AF127" i="47" s="1"/>
  <c r="AG127" i="47" s="1"/>
  <c r="V127" i="47"/>
  <c r="Y127" i="47" s="1"/>
  <c r="Z127" i="47" s="1"/>
  <c r="AB127" i="47" s="1"/>
  <c r="T6" i="47"/>
  <c r="AD16" i="47"/>
  <c r="AF16" i="47" s="1"/>
  <c r="AG16" i="47" s="1"/>
  <c r="V16" i="47"/>
  <c r="Y16" i="47" s="1"/>
  <c r="Z16" i="47" s="1"/>
  <c r="AB16" i="47" s="1"/>
  <c r="AD12" i="47"/>
  <c r="AF12" i="47" s="1"/>
  <c r="AG12" i="47" s="1"/>
  <c r="V12" i="47"/>
  <c r="Y12" i="47" s="1"/>
  <c r="Z12" i="47" s="1"/>
  <c r="AB12" i="47" s="1"/>
  <c r="AD67" i="47" l="1"/>
  <c r="AF67" i="47" s="1"/>
  <c r="AG67" i="47" s="1"/>
  <c r="T258" i="47"/>
  <c r="T262" i="47" s="1"/>
  <c r="AB234" i="47"/>
  <c r="Y235" i="47"/>
  <c r="AF234" i="47"/>
  <c r="Y144" i="47"/>
  <c r="AF144" i="47"/>
  <c r="Z67" i="47"/>
  <c r="AD6" i="47"/>
  <c r="AD258" i="47" s="1"/>
  <c r="V6" i="47"/>
  <c r="V258" i="47" s="1"/>
  <c r="AG234" i="47" l="1"/>
  <c r="V262" i="47"/>
  <c r="Z235" i="47"/>
  <c r="AG144" i="47"/>
  <c r="Z144" i="47"/>
  <c r="AB67" i="47"/>
  <c r="Y6" i="47"/>
  <c r="Y258" i="47" s="1"/>
  <c r="AF6" i="47"/>
  <c r="AF258" i="47" s="1"/>
  <c r="AB235" i="47" l="1"/>
  <c r="Y262" i="47"/>
  <c r="AB144" i="47"/>
  <c r="Z6" i="47"/>
  <c r="Z258" i="47" s="1"/>
  <c r="AG6" i="47"/>
  <c r="AG258" i="47" s="1"/>
  <c r="Z262" i="47" l="1"/>
  <c r="AB6" i="47"/>
  <c r="AB258" i="47" l="1"/>
  <c r="AB262" i="47" s="1"/>
  <c r="P9" i="42" l="1"/>
  <c r="J6" i="42"/>
  <c r="K6" i="42"/>
  <c r="N6" i="42"/>
  <c r="P6" i="42"/>
  <c r="AD6" i="42"/>
  <c r="J7" i="42"/>
  <c r="K7" i="42"/>
  <c r="N7" i="42"/>
  <c r="P7" i="42"/>
  <c r="AD7" i="42"/>
  <c r="J8" i="42"/>
  <c r="K8" i="42"/>
  <c r="N8" i="42"/>
  <c r="P8" i="42"/>
  <c r="AD8" i="42"/>
  <c r="J9" i="42"/>
  <c r="K9" i="42"/>
  <c r="N9" i="42"/>
  <c r="Q9" i="42"/>
  <c r="Q304" i="42" s="1"/>
  <c r="AD9" i="42"/>
  <c r="J10" i="42"/>
  <c r="K10" i="42"/>
  <c r="N10" i="42"/>
  <c r="P10" i="42"/>
  <c r="AD10" i="42"/>
  <c r="J11" i="42"/>
  <c r="K11" i="42"/>
  <c r="N11" i="42"/>
  <c r="P11" i="42"/>
  <c r="AD11" i="42"/>
  <c r="J12" i="42"/>
  <c r="K12" i="42"/>
  <c r="N12" i="42"/>
  <c r="P12" i="42"/>
  <c r="AD12" i="42"/>
  <c r="J13" i="42"/>
  <c r="K13" i="42"/>
  <c r="N13" i="42"/>
  <c r="P13" i="42"/>
  <c r="AD13" i="42"/>
  <c r="J14" i="42"/>
  <c r="K14" i="42"/>
  <c r="N14" i="42"/>
  <c r="P14" i="42"/>
  <c r="AD14" i="42"/>
  <c r="J15" i="42"/>
  <c r="K15" i="42"/>
  <c r="N15" i="42"/>
  <c r="P15" i="42"/>
  <c r="AD15" i="42"/>
  <c r="J16" i="42"/>
  <c r="K16" i="42"/>
  <c r="N16" i="42"/>
  <c r="P16" i="42"/>
  <c r="AD16" i="42"/>
  <c r="J17" i="42"/>
  <c r="K17" i="42"/>
  <c r="N17" i="42"/>
  <c r="P17" i="42"/>
  <c r="AD17" i="42"/>
  <c r="J18" i="42"/>
  <c r="K18" i="42"/>
  <c r="N18" i="42"/>
  <c r="P18" i="42"/>
  <c r="AD18" i="42"/>
  <c r="J19" i="42"/>
  <c r="K19" i="42"/>
  <c r="N19" i="42"/>
  <c r="P19" i="42"/>
  <c r="AD19" i="42"/>
  <c r="J20" i="42"/>
  <c r="K20" i="42"/>
  <c r="N20" i="42"/>
  <c r="P20" i="42"/>
  <c r="AD20" i="42"/>
  <c r="J21" i="42"/>
  <c r="K21" i="42"/>
  <c r="N21" i="42"/>
  <c r="P21" i="42"/>
  <c r="AD21" i="42"/>
  <c r="J22" i="42"/>
  <c r="K22" i="42"/>
  <c r="N22" i="42"/>
  <c r="P22" i="42"/>
  <c r="AD22" i="42"/>
  <c r="J23" i="42"/>
  <c r="K23" i="42"/>
  <c r="N23" i="42"/>
  <c r="P23" i="42"/>
  <c r="AD23" i="42"/>
  <c r="J24" i="42"/>
  <c r="K24" i="42"/>
  <c r="N24" i="42"/>
  <c r="P24" i="42"/>
  <c r="AD24" i="42"/>
  <c r="J25" i="42"/>
  <c r="K25" i="42"/>
  <c r="N25" i="42"/>
  <c r="P25" i="42"/>
  <c r="AD25" i="42"/>
  <c r="J26" i="42"/>
  <c r="K26" i="42"/>
  <c r="N26" i="42"/>
  <c r="P26" i="42"/>
  <c r="AD26" i="42"/>
  <c r="J27" i="42"/>
  <c r="K27" i="42"/>
  <c r="N27" i="42"/>
  <c r="P27" i="42"/>
  <c r="AD27" i="42"/>
  <c r="J28" i="42"/>
  <c r="K28" i="42"/>
  <c r="N28" i="42"/>
  <c r="P28" i="42"/>
  <c r="AD28" i="42"/>
  <c r="J29" i="42"/>
  <c r="K29" i="42"/>
  <c r="N29" i="42"/>
  <c r="P29" i="42"/>
  <c r="AD29" i="42"/>
  <c r="J30" i="42"/>
  <c r="K30" i="42"/>
  <c r="N30" i="42"/>
  <c r="P30" i="42"/>
  <c r="AD30" i="42"/>
  <c r="J31" i="42"/>
  <c r="K31" i="42"/>
  <c r="N31" i="42"/>
  <c r="P31" i="42"/>
  <c r="AD31" i="42"/>
  <c r="J32" i="42"/>
  <c r="K32" i="42"/>
  <c r="N32" i="42"/>
  <c r="P32" i="42"/>
  <c r="AD32" i="42"/>
  <c r="J33" i="42"/>
  <c r="K33" i="42"/>
  <c r="N33" i="42"/>
  <c r="P33" i="42"/>
  <c r="AD33" i="42"/>
  <c r="J34" i="42"/>
  <c r="K34" i="42"/>
  <c r="N34" i="42"/>
  <c r="P34" i="42"/>
  <c r="AD34" i="42"/>
  <c r="J35" i="42"/>
  <c r="K35" i="42"/>
  <c r="N35" i="42"/>
  <c r="P35" i="42"/>
  <c r="AD35" i="42"/>
  <c r="J36" i="42"/>
  <c r="K36" i="42"/>
  <c r="N36" i="42"/>
  <c r="P36" i="42"/>
  <c r="AD36" i="42"/>
  <c r="J37" i="42"/>
  <c r="K37" i="42"/>
  <c r="N37" i="42"/>
  <c r="P37" i="42"/>
  <c r="AD37" i="42"/>
  <c r="J38" i="42"/>
  <c r="K38" i="42"/>
  <c r="N38" i="42"/>
  <c r="P38" i="42"/>
  <c r="AD38" i="42"/>
  <c r="J39" i="42"/>
  <c r="K39" i="42"/>
  <c r="N39" i="42"/>
  <c r="P39" i="42"/>
  <c r="AD39" i="42"/>
  <c r="J40" i="42"/>
  <c r="K40" i="42"/>
  <c r="N40" i="42"/>
  <c r="P40" i="42"/>
  <c r="AD40" i="42"/>
  <c r="J41" i="42"/>
  <c r="K41" i="42"/>
  <c r="N41" i="42"/>
  <c r="P41" i="42"/>
  <c r="AD41" i="42"/>
  <c r="J42" i="42"/>
  <c r="K42" i="42"/>
  <c r="N42" i="42"/>
  <c r="P42" i="42"/>
  <c r="AD42" i="42"/>
  <c r="J43" i="42"/>
  <c r="K43" i="42"/>
  <c r="N43" i="42"/>
  <c r="P43" i="42"/>
  <c r="AD43" i="42"/>
  <c r="J44" i="42"/>
  <c r="K44" i="42"/>
  <c r="N44" i="42"/>
  <c r="P44" i="42"/>
  <c r="AD44" i="42"/>
  <c r="J45" i="42"/>
  <c r="K45" i="42"/>
  <c r="N45" i="42"/>
  <c r="P45" i="42"/>
  <c r="AD45" i="42"/>
  <c r="J46" i="42"/>
  <c r="K46" i="42"/>
  <c r="N46" i="42"/>
  <c r="P46" i="42"/>
  <c r="AD46" i="42"/>
  <c r="J47" i="42"/>
  <c r="K47" i="42"/>
  <c r="N47" i="42"/>
  <c r="P47" i="42"/>
  <c r="AD47" i="42"/>
  <c r="J48" i="42"/>
  <c r="K48" i="42"/>
  <c r="N48" i="42"/>
  <c r="P48" i="42"/>
  <c r="AD48" i="42"/>
  <c r="J49" i="42"/>
  <c r="K49" i="42"/>
  <c r="N49" i="42"/>
  <c r="P49" i="42"/>
  <c r="AD49" i="42"/>
  <c r="J50" i="42"/>
  <c r="K50" i="42"/>
  <c r="N50" i="42"/>
  <c r="P50" i="42"/>
  <c r="AD50" i="42"/>
  <c r="J51" i="42"/>
  <c r="K51" i="42"/>
  <c r="N51" i="42"/>
  <c r="P51" i="42"/>
  <c r="AD51" i="42"/>
  <c r="J52" i="42"/>
  <c r="K52" i="42"/>
  <c r="N52" i="42"/>
  <c r="P52" i="42"/>
  <c r="AD52" i="42"/>
  <c r="J53" i="42"/>
  <c r="K53" i="42"/>
  <c r="N53" i="42"/>
  <c r="P53" i="42"/>
  <c r="AD53" i="42"/>
  <c r="J54" i="42"/>
  <c r="K54" i="42"/>
  <c r="N54" i="42"/>
  <c r="P54" i="42"/>
  <c r="AD54" i="42"/>
  <c r="J55" i="42"/>
  <c r="K55" i="42"/>
  <c r="N55" i="42"/>
  <c r="P55" i="42"/>
  <c r="AD55" i="42"/>
  <c r="J56" i="42"/>
  <c r="K56" i="42"/>
  <c r="N56" i="42"/>
  <c r="P56" i="42"/>
  <c r="AD56" i="42"/>
  <c r="J57" i="42"/>
  <c r="K57" i="42"/>
  <c r="N57" i="42"/>
  <c r="P57" i="42"/>
  <c r="AD57" i="42"/>
  <c r="J58" i="42"/>
  <c r="K58" i="42"/>
  <c r="N58" i="42"/>
  <c r="P58" i="42"/>
  <c r="AD58" i="42"/>
  <c r="J59" i="42"/>
  <c r="K59" i="42"/>
  <c r="N59" i="42"/>
  <c r="P59" i="42"/>
  <c r="AD59" i="42"/>
  <c r="J60" i="42"/>
  <c r="K60" i="42"/>
  <c r="N60" i="42"/>
  <c r="P60" i="42"/>
  <c r="AD60" i="42"/>
  <c r="J61" i="42"/>
  <c r="K61" i="42"/>
  <c r="N61" i="42"/>
  <c r="P61" i="42"/>
  <c r="AD61" i="42"/>
  <c r="J62" i="42"/>
  <c r="K62" i="42"/>
  <c r="N62" i="42"/>
  <c r="P62" i="42"/>
  <c r="AD62" i="42"/>
  <c r="J63" i="42"/>
  <c r="K63" i="42"/>
  <c r="N63" i="42"/>
  <c r="P63" i="42"/>
  <c r="AD63" i="42"/>
  <c r="J64" i="42"/>
  <c r="K64" i="42"/>
  <c r="N64" i="42"/>
  <c r="P64" i="42"/>
  <c r="AD64" i="42"/>
  <c r="J65" i="42"/>
  <c r="K65" i="42"/>
  <c r="N65" i="42"/>
  <c r="P65" i="42"/>
  <c r="AD65" i="42"/>
  <c r="J66" i="42"/>
  <c r="K66" i="42"/>
  <c r="N66" i="42"/>
  <c r="P66" i="42"/>
  <c r="AD66" i="42"/>
  <c r="J67" i="42"/>
  <c r="K67" i="42"/>
  <c r="N67" i="42"/>
  <c r="P67" i="42"/>
  <c r="AD67" i="42"/>
  <c r="J68" i="42"/>
  <c r="K68" i="42"/>
  <c r="N68" i="42"/>
  <c r="P68" i="42"/>
  <c r="AD68" i="42"/>
  <c r="J69" i="42"/>
  <c r="K69" i="42"/>
  <c r="N69" i="42"/>
  <c r="P69" i="42"/>
  <c r="AD69" i="42"/>
  <c r="J70" i="42"/>
  <c r="K70" i="42"/>
  <c r="N70" i="42"/>
  <c r="P70" i="42"/>
  <c r="AD70" i="42"/>
  <c r="J71" i="42"/>
  <c r="K71" i="42"/>
  <c r="N71" i="42"/>
  <c r="P71" i="42"/>
  <c r="AD71" i="42"/>
  <c r="J72" i="42"/>
  <c r="K72" i="42"/>
  <c r="N72" i="42"/>
  <c r="P72" i="42"/>
  <c r="AD72" i="42"/>
  <c r="J73" i="42"/>
  <c r="K73" i="42"/>
  <c r="N73" i="42"/>
  <c r="P73" i="42"/>
  <c r="AD73" i="42"/>
  <c r="J74" i="42"/>
  <c r="K74" i="42"/>
  <c r="N74" i="42"/>
  <c r="P74" i="42"/>
  <c r="AD74" i="42"/>
  <c r="J75" i="42"/>
  <c r="K75" i="42"/>
  <c r="N75" i="42"/>
  <c r="P75" i="42"/>
  <c r="AD75" i="42"/>
  <c r="J76" i="42"/>
  <c r="K76" i="42"/>
  <c r="N76" i="42"/>
  <c r="P76" i="42"/>
  <c r="AD76" i="42"/>
  <c r="J77" i="42"/>
  <c r="K77" i="42"/>
  <c r="N77" i="42"/>
  <c r="P77" i="42"/>
  <c r="AD77" i="42"/>
  <c r="J78" i="42"/>
  <c r="K78" i="42"/>
  <c r="N78" i="42"/>
  <c r="P78" i="42"/>
  <c r="AD78" i="42"/>
  <c r="J79" i="42"/>
  <c r="K79" i="42"/>
  <c r="N79" i="42"/>
  <c r="P79" i="42"/>
  <c r="AD79" i="42"/>
  <c r="J80" i="42"/>
  <c r="K80" i="42"/>
  <c r="N80" i="42"/>
  <c r="P80" i="42"/>
  <c r="AD80" i="42"/>
  <c r="J81" i="42"/>
  <c r="K81" i="42"/>
  <c r="N81" i="42"/>
  <c r="P81" i="42"/>
  <c r="AD81" i="42"/>
  <c r="J82" i="42"/>
  <c r="K82" i="42"/>
  <c r="N82" i="42"/>
  <c r="P82" i="42"/>
  <c r="AD82" i="42"/>
  <c r="J83" i="42"/>
  <c r="K83" i="42"/>
  <c r="N83" i="42"/>
  <c r="P83" i="42"/>
  <c r="AD83" i="42"/>
  <c r="J84" i="42"/>
  <c r="K84" i="42"/>
  <c r="N84" i="42"/>
  <c r="P84" i="42"/>
  <c r="AD84" i="42"/>
  <c r="J85" i="42"/>
  <c r="K85" i="42"/>
  <c r="N85" i="42"/>
  <c r="P85" i="42"/>
  <c r="AD85" i="42"/>
  <c r="J86" i="42"/>
  <c r="K86" i="42"/>
  <c r="N86" i="42"/>
  <c r="P86" i="42"/>
  <c r="AD86" i="42"/>
  <c r="J87" i="42"/>
  <c r="K87" i="42"/>
  <c r="N87" i="42"/>
  <c r="P87" i="42"/>
  <c r="AD87" i="42"/>
  <c r="J88" i="42"/>
  <c r="K88" i="42"/>
  <c r="N88" i="42"/>
  <c r="P88" i="42"/>
  <c r="AD88" i="42"/>
  <c r="J89" i="42"/>
  <c r="K89" i="42"/>
  <c r="N89" i="42"/>
  <c r="P89" i="42"/>
  <c r="AD89" i="42"/>
  <c r="J90" i="42"/>
  <c r="K90" i="42"/>
  <c r="N90" i="42"/>
  <c r="P90" i="42"/>
  <c r="AD90" i="42"/>
  <c r="J91" i="42"/>
  <c r="K91" i="42"/>
  <c r="N91" i="42"/>
  <c r="P91" i="42"/>
  <c r="AD91" i="42"/>
  <c r="J92" i="42"/>
  <c r="K92" i="42"/>
  <c r="N92" i="42"/>
  <c r="P92" i="42"/>
  <c r="AD92" i="42"/>
  <c r="J93" i="42"/>
  <c r="K93" i="42"/>
  <c r="N93" i="42"/>
  <c r="P93" i="42"/>
  <c r="AD93" i="42"/>
  <c r="J94" i="42"/>
  <c r="K94" i="42"/>
  <c r="N94" i="42"/>
  <c r="P94" i="42"/>
  <c r="AD94" i="42"/>
  <c r="J95" i="42"/>
  <c r="K95" i="42"/>
  <c r="N95" i="42"/>
  <c r="P95" i="42"/>
  <c r="AD95" i="42"/>
  <c r="J96" i="42"/>
  <c r="K96" i="42"/>
  <c r="N96" i="42"/>
  <c r="P96" i="42"/>
  <c r="AD96" i="42"/>
  <c r="J97" i="42"/>
  <c r="K97" i="42"/>
  <c r="N97" i="42"/>
  <c r="P97" i="42"/>
  <c r="AD97" i="42"/>
  <c r="J98" i="42"/>
  <c r="K98" i="42"/>
  <c r="N98" i="42"/>
  <c r="P98" i="42"/>
  <c r="AD98" i="42"/>
  <c r="J99" i="42"/>
  <c r="K99" i="42"/>
  <c r="N99" i="42"/>
  <c r="P99" i="42"/>
  <c r="AD99" i="42"/>
  <c r="J100" i="42"/>
  <c r="K100" i="42"/>
  <c r="N100" i="42"/>
  <c r="P100" i="42"/>
  <c r="AD100" i="42"/>
  <c r="J101" i="42"/>
  <c r="K101" i="42"/>
  <c r="N101" i="42"/>
  <c r="P101" i="42"/>
  <c r="AD101" i="42"/>
  <c r="J102" i="42"/>
  <c r="K102" i="42"/>
  <c r="N102" i="42"/>
  <c r="P102" i="42"/>
  <c r="AD102" i="42"/>
  <c r="J103" i="42"/>
  <c r="K103" i="42"/>
  <c r="N103" i="42"/>
  <c r="P103" i="42"/>
  <c r="AD103" i="42"/>
  <c r="J104" i="42"/>
  <c r="K104" i="42"/>
  <c r="N104" i="42"/>
  <c r="P104" i="42"/>
  <c r="AD104" i="42"/>
  <c r="J105" i="42"/>
  <c r="K105" i="42"/>
  <c r="N105" i="42"/>
  <c r="P105" i="42"/>
  <c r="AD105" i="42"/>
  <c r="J106" i="42"/>
  <c r="K106" i="42"/>
  <c r="N106" i="42"/>
  <c r="P106" i="42"/>
  <c r="AD106" i="42"/>
  <c r="J107" i="42"/>
  <c r="K107" i="42"/>
  <c r="N107" i="42"/>
  <c r="P107" i="42"/>
  <c r="AD107" i="42"/>
  <c r="J108" i="42"/>
  <c r="K108" i="42"/>
  <c r="N108" i="42"/>
  <c r="P108" i="42"/>
  <c r="AD108" i="42"/>
  <c r="J109" i="42"/>
  <c r="K109" i="42"/>
  <c r="N109" i="42"/>
  <c r="P109" i="42"/>
  <c r="AD109" i="42"/>
  <c r="J110" i="42"/>
  <c r="K110" i="42"/>
  <c r="N110" i="42"/>
  <c r="P110" i="42"/>
  <c r="AD110" i="42"/>
  <c r="J111" i="42"/>
  <c r="K111" i="42"/>
  <c r="N111" i="42"/>
  <c r="P111" i="42"/>
  <c r="AD111" i="42"/>
  <c r="J112" i="42"/>
  <c r="K112" i="42"/>
  <c r="N112" i="42"/>
  <c r="P112" i="42"/>
  <c r="AD112" i="42"/>
  <c r="J113" i="42"/>
  <c r="K113" i="42"/>
  <c r="N113" i="42"/>
  <c r="P113" i="42"/>
  <c r="AD113" i="42"/>
  <c r="J114" i="42"/>
  <c r="K114" i="42"/>
  <c r="N114" i="42"/>
  <c r="P114" i="42"/>
  <c r="AD114" i="42"/>
  <c r="J115" i="42"/>
  <c r="K115" i="42"/>
  <c r="N115" i="42"/>
  <c r="P115" i="42"/>
  <c r="AD115" i="42"/>
  <c r="J116" i="42"/>
  <c r="K116" i="42"/>
  <c r="N116" i="42"/>
  <c r="P116" i="42"/>
  <c r="AD116" i="42"/>
  <c r="J117" i="42"/>
  <c r="K117" i="42"/>
  <c r="N117" i="42"/>
  <c r="P117" i="42"/>
  <c r="AD117" i="42"/>
  <c r="J118" i="42"/>
  <c r="K118" i="42"/>
  <c r="N118" i="42"/>
  <c r="P118" i="42"/>
  <c r="AD118" i="42"/>
  <c r="J119" i="42"/>
  <c r="K119" i="42"/>
  <c r="N119" i="42"/>
  <c r="P119" i="42"/>
  <c r="AD119" i="42"/>
  <c r="J120" i="42"/>
  <c r="K120" i="42"/>
  <c r="N120" i="42"/>
  <c r="P120" i="42"/>
  <c r="AD120" i="42"/>
  <c r="J121" i="42"/>
  <c r="K121" i="42"/>
  <c r="N121" i="42"/>
  <c r="P121" i="42"/>
  <c r="AD121" i="42"/>
  <c r="J122" i="42"/>
  <c r="K122" i="42"/>
  <c r="N122" i="42"/>
  <c r="P122" i="42"/>
  <c r="AD122" i="42"/>
  <c r="J123" i="42"/>
  <c r="K123" i="42"/>
  <c r="N123" i="42"/>
  <c r="P123" i="42"/>
  <c r="AD123" i="42"/>
  <c r="J124" i="42"/>
  <c r="K124" i="42"/>
  <c r="N124" i="42"/>
  <c r="P124" i="42"/>
  <c r="AD124" i="42"/>
  <c r="J125" i="42"/>
  <c r="K125" i="42"/>
  <c r="N125" i="42"/>
  <c r="P125" i="42"/>
  <c r="AD125" i="42"/>
  <c r="J126" i="42"/>
  <c r="K126" i="42"/>
  <c r="N126" i="42"/>
  <c r="P126" i="42"/>
  <c r="AD126" i="42"/>
  <c r="J127" i="42"/>
  <c r="K127" i="42"/>
  <c r="N127" i="42"/>
  <c r="P127" i="42"/>
  <c r="AD127" i="42"/>
  <c r="J128" i="42"/>
  <c r="K128" i="42"/>
  <c r="N128" i="42"/>
  <c r="P128" i="42"/>
  <c r="AD128" i="42"/>
  <c r="J129" i="42"/>
  <c r="K129" i="42"/>
  <c r="N129" i="42"/>
  <c r="P129" i="42"/>
  <c r="AD129" i="42"/>
  <c r="J130" i="42"/>
  <c r="K130" i="42"/>
  <c r="N130" i="42"/>
  <c r="P130" i="42"/>
  <c r="AD130" i="42"/>
  <c r="J131" i="42"/>
  <c r="K131" i="42"/>
  <c r="N131" i="42"/>
  <c r="P131" i="42"/>
  <c r="AD131" i="42"/>
  <c r="J132" i="42"/>
  <c r="K132" i="42"/>
  <c r="N132" i="42"/>
  <c r="P132" i="42"/>
  <c r="AD132" i="42"/>
  <c r="J133" i="42"/>
  <c r="K133" i="42"/>
  <c r="N133" i="42"/>
  <c r="P133" i="42"/>
  <c r="AD133" i="42"/>
  <c r="J134" i="42"/>
  <c r="K134" i="42"/>
  <c r="N134" i="42"/>
  <c r="P134" i="42"/>
  <c r="AD134" i="42"/>
  <c r="J135" i="42"/>
  <c r="K135" i="42"/>
  <c r="N135" i="42"/>
  <c r="P135" i="42"/>
  <c r="AD135" i="42"/>
  <c r="J136" i="42"/>
  <c r="K136" i="42"/>
  <c r="N136" i="42"/>
  <c r="P136" i="42"/>
  <c r="AD136" i="42"/>
  <c r="J137" i="42"/>
  <c r="K137" i="42"/>
  <c r="N137" i="42"/>
  <c r="P137" i="42"/>
  <c r="AD137" i="42"/>
  <c r="J138" i="42"/>
  <c r="K138" i="42"/>
  <c r="N138" i="42"/>
  <c r="P138" i="42"/>
  <c r="AD138" i="42"/>
  <c r="J139" i="42"/>
  <c r="K139" i="42"/>
  <c r="N139" i="42"/>
  <c r="P139" i="42"/>
  <c r="AD139" i="42"/>
  <c r="J140" i="42"/>
  <c r="K140" i="42"/>
  <c r="N140" i="42"/>
  <c r="P140" i="42"/>
  <c r="AD140" i="42"/>
  <c r="J141" i="42"/>
  <c r="K141" i="42"/>
  <c r="N141" i="42"/>
  <c r="P141" i="42"/>
  <c r="AD141" i="42"/>
  <c r="J142" i="42"/>
  <c r="K142" i="42"/>
  <c r="N142" i="42"/>
  <c r="P142" i="42"/>
  <c r="AD142" i="42"/>
  <c r="J143" i="42"/>
  <c r="K143" i="42"/>
  <c r="N143" i="42"/>
  <c r="P143" i="42"/>
  <c r="AD143" i="42"/>
  <c r="J144" i="42"/>
  <c r="K144" i="42"/>
  <c r="N144" i="42"/>
  <c r="P144" i="42"/>
  <c r="AD144" i="42"/>
  <c r="J145" i="42"/>
  <c r="K145" i="42"/>
  <c r="N145" i="42"/>
  <c r="P145" i="42"/>
  <c r="AD145" i="42"/>
  <c r="J146" i="42"/>
  <c r="K146" i="42"/>
  <c r="N146" i="42"/>
  <c r="P146" i="42"/>
  <c r="AD146" i="42"/>
  <c r="J147" i="42"/>
  <c r="K147" i="42"/>
  <c r="N147" i="42"/>
  <c r="P147" i="42"/>
  <c r="AD147" i="42"/>
  <c r="J148" i="42"/>
  <c r="K148" i="42"/>
  <c r="N148" i="42"/>
  <c r="P148" i="42"/>
  <c r="AD148" i="42"/>
  <c r="J149" i="42"/>
  <c r="K149" i="42"/>
  <c r="N149" i="42"/>
  <c r="P149" i="42"/>
  <c r="AD149" i="42"/>
  <c r="J150" i="42"/>
  <c r="K150" i="42"/>
  <c r="N150" i="42"/>
  <c r="P150" i="42"/>
  <c r="AD150" i="42"/>
  <c r="J151" i="42"/>
  <c r="K151" i="42"/>
  <c r="N151" i="42"/>
  <c r="P151" i="42"/>
  <c r="AD151" i="42"/>
  <c r="J152" i="42"/>
  <c r="K152" i="42"/>
  <c r="N152" i="42"/>
  <c r="P152" i="42"/>
  <c r="AD152" i="42"/>
  <c r="J153" i="42"/>
  <c r="K153" i="42"/>
  <c r="N153" i="42"/>
  <c r="P153" i="42"/>
  <c r="AD153" i="42"/>
  <c r="J154" i="42"/>
  <c r="K154" i="42"/>
  <c r="N154" i="42"/>
  <c r="P154" i="42"/>
  <c r="AD154" i="42"/>
  <c r="J155" i="42"/>
  <c r="K155" i="42"/>
  <c r="N155" i="42"/>
  <c r="P155" i="42"/>
  <c r="AD155" i="42"/>
  <c r="J156" i="42"/>
  <c r="K156" i="42"/>
  <c r="N156" i="42"/>
  <c r="P156" i="42"/>
  <c r="AD156" i="42"/>
  <c r="J157" i="42"/>
  <c r="K157" i="42"/>
  <c r="N157" i="42"/>
  <c r="P157" i="42"/>
  <c r="AD157" i="42"/>
  <c r="J158" i="42"/>
  <c r="K158" i="42"/>
  <c r="N158" i="42"/>
  <c r="P158" i="42"/>
  <c r="AD158" i="42"/>
  <c r="J159" i="42"/>
  <c r="K159" i="42"/>
  <c r="N159" i="42"/>
  <c r="P159" i="42"/>
  <c r="AD159" i="42"/>
  <c r="J160" i="42"/>
  <c r="K160" i="42"/>
  <c r="N160" i="42"/>
  <c r="P160" i="42"/>
  <c r="AD160" i="42"/>
  <c r="J161" i="42"/>
  <c r="K161" i="42"/>
  <c r="N161" i="42"/>
  <c r="P161" i="42"/>
  <c r="AD161" i="42"/>
  <c r="J162" i="42"/>
  <c r="K162" i="42"/>
  <c r="N162" i="42"/>
  <c r="P162" i="42"/>
  <c r="AD162" i="42"/>
  <c r="J163" i="42"/>
  <c r="K163" i="42"/>
  <c r="N163" i="42"/>
  <c r="P163" i="42"/>
  <c r="AD163" i="42"/>
  <c r="J164" i="42"/>
  <c r="K164" i="42"/>
  <c r="N164" i="42"/>
  <c r="P164" i="42"/>
  <c r="AD164" i="42"/>
  <c r="J165" i="42"/>
  <c r="K165" i="42"/>
  <c r="N165" i="42"/>
  <c r="P165" i="42"/>
  <c r="AD165" i="42"/>
  <c r="J166" i="42"/>
  <c r="K166" i="42"/>
  <c r="N166" i="42"/>
  <c r="P166" i="42"/>
  <c r="AD166" i="42"/>
  <c r="J167" i="42"/>
  <c r="K167" i="42"/>
  <c r="N167" i="42"/>
  <c r="P167" i="42"/>
  <c r="AD167" i="42"/>
  <c r="J168" i="42"/>
  <c r="K168" i="42"/>
  <c r="N168" i="42"/>
  <c r="P168" i="42"/>
  <c r="AD168" i="42"/>
  <c r="J169" i="42"/>
  <c r="K169" i="42"/>
  <c r="N169" i="42"/>
  <c r="P169" i="42"/>
  <c r="AD169" i="42"/>
  <c r="J170" i="42"/>
  <c r="K170" i="42"/>
  <c r="N170" i="42"/>
  <c r="P170" i="42"/>
  <c r="AD170" i="42"/>
  <c r="J171" i="42"/>
  <c r="K171" i="42"/>
  <c r="N171" i="42"/>
  <c r="P171" i="42"/>
  <c r="AD171" i="42"/>
  <c r="J172" i="42"/>
  <c r="K172" i="42"/>
  <c r="N172" i="42"/>
  <c r="P172" i="42"/>
  <c r="AD172" i="42"/>
  <c r="J173" i="42"/>
  <c r="K173" i="42"/>
  <c r="N173" i="42"/>
  <c r="P173" i="42"/>
  <c r="AD173" i="42"/>
  <c r="J174" i="42"/>
  <c r="K174" i="42"/>
  <c r="N174" i="42"/>
  <c r="P174" i="42"/>
  <c r="AD174" i="42"/>
  <c r="J175" i="42"/>
  <c r="K175" i="42"/>
  <c r="N175" i="42"/>
  <c r="P175" i="42"/>
  <c r="AD175" i="42"/>
  <c r="J176" i="42"/>
  <c r="K176" i="42"/>
  <c r="N176" i="42"/>
  <c r="P176" i="42"/>
  <c r="AD176" i="42"/>
  <c r="J177" i="42"/>
  <c r="K177" i="42"/>
  <c r="N177" i="42"/>
  <c r="P177" i="42"/>
  <c r="AD177" i="42"/>
  <c r="J178" i="42"/>
  <c r="K178" i="42"/>
  <c r="N178" i="42"/>
  <c r="P178" i="42"/>
  <c r="AD178" i="42"/>
  <c r="J179" i="42"/>
  <c r="K179" i="42"/>
  <c r="N179" i="42"/>
  <c r="P179" i="42"/>
  <c r="AD179" i="42"/>
  <c r="J180" i="42"/>
  <c r="K180" i="42"/>
  <c r="N180" i="42"/>
  <c r="P180" i="42"/>
  <c r="AD180" i="42"/>
  <c r="J181" i="42"/>
  <c r="K181" i="42"/>
  <c r="N181" i="42"/>
  <c r="P181" i="42"/>
  <c r="AD181" i="42"/>
  <c r="J182" i="42"/>
  <c r="K182" i="42"/>
  <c r="N182" i="42"/>
  <c r="P182" i="42"/>
  <c r="AD182" i="42"/>
  <c r="J183" i="42"/>
  <c r="K183" i="42"/>
  <c r="N183" i="42"/>
  <c r="P183" i="42"/>
  <c r="AD183" i="42"/>
  <c r="J184" i="42"/>
  <c r="K184" i="42"/>
  <c r="N184" i="42"/>
  <c r="P184" i="42"/>
  <c r="AD184" i="42"/>
  <c r="J185" i="42"/>
  <c r="K185" i="42"/>
  <c r="N185" i="42"/>
  <c r="P185" i="42"/>
  <c r="AD185" i="42"/>
  <c r="J186" i="42"/>
  <c r="K186" i="42"/>
  <c r="N186" i="42"/>
  <c r="P186" i="42"/>
  <c r="AD186" i="42"/>
  <c r="J187" i="42"/>
  <c r="K187" i="42"/>
  <c r="N187" i="42"/>
  <c r="P187" i="42"/>
  <c r="AD187" i="42"/>
  <c r="J188" i="42"/>
  <c r="K188" i="42"/>
  <c r="N188" i="42"/>
  <c r="P188" i="42"/>
  <c r="AD188" i="42"/>
  <c r="J189" i="42"/>
  <c r="K189" i="42"/>
  <c r="N189" i="42"/>
  <c r="P189" i="42"/>
  <c r="AD189" i="42"/>
  <c r="J190" i="42"/>
  <c r="K190" i="42"/>
  <c r="N190" i="42"/>
  <c r="P190" i="42"/>
  <c r="AD190" i="42"/>
  <c r="J191" i="42"/>
  <c r="K191" i="42"/>
  <c r="N191" i="42"/>
  <c r="P191" i="42"/>
  <c r="AD191" i="42"/>
  <c r="J192" i="42"/>
  <c r="K192" i="42"/>
  <c r="N192" i="42"/>
  <c r="P192" i="42"/>
  <c r="AD192" i="42"/>
  <c r="J193" i="42"/>
  <c r="K193" i="42"/>
  <c r="N193" i="42"/>
  <c r="P193" i="42"/>
  <c r="AD193" i="42"/>
  <c r="J194" i="42"/>
  <c r="K194" i="42"/>
  <c r="N194" i="42"/>
  <c r="P194" i="42"/>
  <c r="AD194" i="42"/>
  <c r="J195" i="42"/>
  <c r="K195" i="42"/>
  <c r="N195" i="42"/>
  <c r="P195" i="42"/>
  <c r="AD195" i="42"/>
  <c r="J196" i="42"/>
  <c r="K196" i="42"/>
  <c r="N196" i="42"/>
  <c r="P196" i="42"/>
  <c r="AD196" i="42"/>
  <c r="J197" i="42"/>
  <c r="K197" i="42"/>
  <c r="N197" i="42"/>
  <c r="P197" i="42"/>
  <c r="AD197" i="42"/>
  <c r="J198" i="42"/>
  <c r="K198" i="42"/>
  <c r="N198" i="42"/>
  <c r="P198" i="42"/>
  <c r="AD198" i="42"/>
  <c r="J199" i="42"/>
  <c r="K199" i="42"/>
  <c r="N199" i="42"/>
  <c r="P199" i="42"/>
  <c r="AD199" i="42"/>
  <c r="J200" i="42"/>
  <c r="K200" i="42"/>
  <c r="N200" i="42"/>
  <c r="P200" i="42"/>
  <c r="AD200" i="42"/>
  <c r="J201" i="42"/>
  <c r="K201" i="42"/>
  <c r="N201" i="42"/>
  <c r="P201" i="42"/>
  <c r="AD201" i="42"/>
  <c r="J202" i="42"/>
  <c r="K202" i="42"/>
  <c r="N202" i="42"/>
  <c r="P202" i="42"/>
  <c r="AD202" i="42"/>
  <c r="J203" i="42"/>
  <c r="K203" i="42"/>
  <c r="N203" i="42"/>
  <c r="P203" i="42"/>
  <c r="AD203" i="42"/>
  <c r="J204" i="42"/>
  <c r="K204" i="42"/>
  <c r="N204" i="42"/>
  <c r="P204" i="42"/>
  <c r="AD204" i="42"/>
  <c r="J205" i="42"/>
  <c r="K205" i="42"/>
  <c r="N205" i="42"/>
  <c r="P205" i="42"/>
  <c r="AD205" i="42"/>
  <c r="J206" i="42"/>
  <c r="K206" i="42"/>
  <c r="N206" i="42"/>
  <c r="P206" i="42"/>
  <c r="AD206" i="42"/>
  <c r="J207" i="42"/>
  <c r="K207" i="42"/>
  <c r="N207" i="42"/>
  <c r="P207" i="42"/>
  <c r="AD207" i="42"/>
  <c r="J208" i="42"/>
  <c r="K208" i="42"/>
  <c r="N208" i="42"/>
  <c r="P208" i="42"/>
  <c r="AD208" i="42"/>
  <c r="J209" i="42"/>
  <c r="K209" i="42"/>
  <c r="N209" i="42"/>
  <c r="P209" i="42"/>
  <c r="AD209" i="42"/>
  <c r="J210" i="42"/>
  <c r="K210" i="42"/>
  <c r="N210" i="42"/>
  <c r="P210" i="42"/>
  <c r="AD210" i="42"/>
  <c r="J211" i="42"/>
  <c r="K211" i="42"/>
  <c r="N211" i="42"/>
  <c r="P211" i="42"/>
  <c r="AD211" i="42"/>
  <c r="J212" i="42"/>
  <c r="K212" i="42"/>
  <c r="N212" i="42"/>
  <c r="P212" i="42"/>
  <c r="AD212" i="42"/>
  <c r="J213" i="42"/>
  <c r="K213" i="42"/>
  <c r="N213" i="42"/>
  <c r="P213" i="42"/>
  <c r="AD213" i="42"/>
  <c r="J214" i="42"/>
  <c r="K214" i="42"/>
  <c r="N214" i="42"/>
  <c r="P214" i="42"/>
  <c r="AD214" i="42"/>
  <c r="J215" i="42"/>
  <c r="K215" i="42"/>
  <c r="N215" i="42"/>
  <c r="P215" i="42"/>
  <c r="AD215" i="42"/>
  <c r="J216" i="42"/>
  <c r="K216" i="42"/>
  <c r="N216" i="42"/>
  <c r="P216" i="42"/>
  <c r="AD216" i="42"/>
  <c r="J217" i="42"/>
  <c r="K217" i="42"/>
  <c r="N217" i="42"/>
  <c r="P217" i="42"/>
  <c r="AD217" i="42"/>
  <c r="J218" i="42"/>
  <c r="K218" i="42"/>
  <c r="N218" i="42"/>
  <c r="P218" i="42"/>
  <c r="AD218" i="42"/>
  <c r="J219" i="42"/>
  <c r="K219" i="42"/>
  <c r="N219" i="42"/>
  <c r="P219" i="42"/>
  <c r="AD219" i="42"/>
  <c r="J220" i="42"/>
  <c r="K220" i="42"/>
  <c r="N220" i="42"/>
  <c r="P220" i="42"/>
  <c r="AD220" i="42"/>
  <c r="J221" i="42"/>
  <c r="K221" i="42"/>
  <c r="N221" i="42"/>
  <c r="P221" i="42"/>
  <c r="AD221" i="42"/>
  <c r="J222" i="42"/>
  <c r="K222" i="42"/>
  <c r="N222" i="42"/>
  <c r="P222" i="42"/>
  <c r="AD222" i="42"/>
  <c r="J223" i="42"/>
  <c r="K223" i="42"/>
  <c r="N223" i="42"/>
  <c r="P223" i="42"/>
  <c r="AD223" i="42"/>
  <c r="J224" i="42"/>
  <c r="K224" i="42"/>
  <c r="N224" i="42"/>
  <c r="P224" i="42"/>
  <c r="AD224" i="42"/>
  <c r="J225" i="42"/>
  <c r="K225" i="42"/>
  <c r="N225" i="42"/>
  <c r="P225" i="42"/>
  <c r="AD225" i="42"/>
  <c r="J226" i="42"/>
  <c r="K226" i="42"/>
  <c r="N226" i="42"/>
  <c r="P226" i="42"/>
  <c r="AD226" i="42"/>
  <c r="J227" i="42"/>
  <c r="K227" i="42"/>
  <c r="N227" i="42"/>
  <c r="P227" i="42"/>
  <c r="AD227" i="42"/>
  <c r="J228" i="42"/>
  <c r="K228" i="42"/>
  <c r="N228" i="42"/>
  <c r="P228" i="42"/>
  <c r="AD228" i="42"/>
  <c r="J229" i="42"/>
  <c r="K229" i="42"/>
  <c r="N229" i="42"/>
  <c r="P229" i="42"/>
  <c r="AD229" i="42"/>
  <c r="J230" i="42"/>
  <c r="K230" i="42"/>
  <c r="N230" i="42"/>
  <c r="P230" i="42"/>
  <c r="AD230" i="42"/>
  <c r="J231" i="42"/>
  <c r="K231" i="42"/>
  <c r="N231" i="42"/>
  <c r="P231" i="42"/>
  <c r="AD231" i="42"/>
  <c r="J232" i="42"/>
  <c r="K232" i="42"/>
  <c r="N232" i="42"/>
  <c r="P232" i="42"/>
  <c r="AD232" i="42"/>
  <c r="J233" i="42"/>
  <c r="K233" i="42"/>
  <c r="N233" i="42"/>
  <c r="P233" i="42"/>
  <c r="AD233" i="42"/>
  <c r="J234" i="42"/>
  <c r="K234" i="42"/>
  <c r="N234" i="42"/>
  <c r="P234" i="42"/>
  <c r="AD234" i="42"/>
  <c r="J235" i="42"/>
  <c r="K235" i="42"/>
  <c r="N235" i="42"/>
  <c r="P235" i="42"/>
  <c r="AD235" i="42"/>
  <c r="J236" i="42"/>
  <c r="K236" i="42"/>
  <c r="N236" i="42"/>
  <c r="P236" i="42"/>
  <c r="AD236" i="42"/>
  <c r="J237" i="42"/>
  <c r="K237" i="42"/>
  <c r="N237" i="42"/>
  <c r="P237" i="42"/>
  <c r="AD237" i="42"/>
  <c r="J238" i="42"/>
  <c r="K238" i="42"/>
  <c r="N238" i="42"/>
  <c r="P238" i="42"/>
  <c r="AD238" i="42"/>
  <c r="J239" i="42"/>
  <c r="K239" i="42"/>
  <c r="N239" i="42"/>
  <c r="P239" i="42"/>
  <c r="AD239" i="42"/>
  <c r="J240" i="42"/>
  <c r="K240" i="42"/>
  <c r="N240" i="42"/>
  <c r="P240" i="42"/>
  <c r="AD240" i="42"/>
  <c r="J241" i="42"/>
  <c r="K241" i="42"/>
  <c r="N241" i="42"/>
  <c r="P241" i="42"/>
  <c r="AD241" i="42"/>
  <c r="J242" i="42"/>
  <c r="K242" i="42"/>
  <c r="N242" i="42"/>
  <c r="P242" i="42"/>
  <c r="AD242" i="42"/>
  <c r="J243" i="42"/>
  <c r="K243" i="42"/>
  <c r="N243" i="42"/>
  <c r="P243" i="42"/>
  <c r="AD243" i="42"/>
  <c r="J244" i="42"/>
  <c r="K244" i="42"/>
  <c r="N244" i="42"/>
  <c r="P244" i="42"/>
  <c r="AD244" i="42"/>
  <c r="J245" i="42"/>
  <c r="K245" i="42"/>
  <c r="N245" i="42"/>
  <c r="P245" i="42"/>
  <c r="AD245" i="42"/>
  <c r="J246" i="42"/>
  <c r="K246" i="42"/>
  <c r="N246" i="42"/>
  <c r="P246" i="42"/>
  <c r="AD246" i="42"/>
  <c r="J247" i="42"/>
  <c r="K247" i="42"/>
  <c r="N247" i="42"/>
  <c r="P247" i="42"/>
  <c r="AD247" i="42"/>
  <c r="J248" i="42"/>
  <c r="K248" i="42"/>
  <c r="N248" i="42"/>
  <c r="P248" i="42"/>
  <c r="AD248" i="42"/>
  <c r="J249" i="42"/>
  <c r="K249" i="42"/>
  <c r="N249" i="42"/>
  <c r="P249" i="42"/>
  <c r="AD249" i="42"/>
  <c r="J250" i="42"/>
  <c r="K250" i="42"/>
  <c r="N250" i="42"/>
  <c r="P250" i="42"/>
  <c r="AD250" i="42"/>
  <c r="J251" i="42"/>
  <c r="K251" i="42"/>
  <c r="N251" i="42"/>
  <c r="P251" i="42"/>
  <c r="AD251" i="42"/>
  <c r="J252" i="42"/>
  <c r="K252" i="42"/>
  <c r="N252" i="42"/>
  <c r="P252" i="42"/>
  <c r="AD252" i="42"/>
  <c r="J253" i="42"/>
  <c r="K253" i="42"/>
  <c r="N253" i="42"/>
  <c r="P253" i="42"/>
  <c r="AD253" i="42"/>
  <c r="J254" i="42"/>
  <c r="K254" i="42"/>
  <c r="N254" i="42"/>
  <c r="P254" i="42"/>
  <c r="AD254" i="42"/>
  <c r="J255" i="42"/>
  <c r="K255" i="42"/>
  <c r="N255" i="42"/>
  <c r="P255" i="42"/>
  <c r="AD255" i="42"/>
  <c r="J256" i="42"/>
  <c r="K256" i="42"/>
  <c r="N256" i="42"/>
  <c r="P256" i="42"/>
  <c r="AD256" i="42"/>
  <c r="J257" i="42"/>
  <c r="K257" i="42"/>
  <c r="N257" i="42"/>
  <c r="P257" i="42"/>
  <c r="AD257" i="42"/>
  <c r="J258" i="42"/>
  <c r="K258" i="42"/>
  <c r="N258" i="42"/>
  <c r="P258" i="42"/>
  <c r="AD258" i="42"/>
  <c r="J259" i="42"/>
  <c r="K259" i="42"/>
  <c r="N259" i="42"/>
  <c r="P259" i="42"/>
  <c r="AD259" i="42"/>
  <c r="J260" i="42"/>
  <c r="K260" i="42"/>
  <c r="N260" i="42"/>
  <c r="P260" i="42"/>
  <c r="AD260" i="42"/>
  <c r="J261" i="42"/>
  <c r="K261" i="42"/>
  <c r="N261" i="42"/>
  <c r="P261" i="42"/>
  <c r="AD261" i="42"/>
  <c r="J262" i="42"/>
  <c r="K262" i="42"/>
  <c r="N262" i="42"/>
  <c r="P262" i="42"/>
  <c r="AD262" i="42"/>
  <c r="J263" i="42"/>
  <c r="K263" i="42"/>
  <c r="N263" i="42"/>
  <c r="P263" i="42"/>
  <c r="AD263" i="42"/>
  <c r="J264" i="42"/>
  <c r="K264" i="42"/>
  <c r="N264" i="42"/>
  <c r="P264" i="42"/>
  <c r="AD264" i="42"/>
  <c r="J265" i="42"/>
  <c r="K265" i="42"/>
  <c r="N265" i="42"/>
  <c r="P265" i="42"/>
  <c r="AD265" i="42"/>
  <c r="J266" i="42"/>
  <c r="K266" i="42"/>
  <c r="N266" i="42"/>
  <c r="P266" i="42"/>
  <c r="AD266" i="42"/>
  <c r="J267" i="42"/>
  <c r="K267" i="42"/>
  <c r="N267" i="42"/>
  <c r="P267" i="42"/>
  <c r="AD267" i="42"/>
  <c r="J268" i="42"/>
  <c r="K268" i="42"/>
  <c r="N268" i="42"/>
  <c r="P268" i="42"/>
  <c r="AD268" i="42"/>
  <c r="J269" i="42"/>
  <c r="K269" i="42"/>
  <c r="N269" i="42"/>
  <c r="P269" i="42"/>
  <c r="AD269" i="42"/>
  <c r="J270" i="42"/>
  <c r="K270" i="42"/>
  <c r="N270" i="42"/>
  <c r="P270" i="42"/>
  <c r="AD270" i="42"/>
  <c r="J271" i="42"/>
  <c r="K271" i="42"/>
  <c r="N271" i="42"/>
  <c r="P271" i="42"/>
  <c r="AD271" i="42"/>
  <c r="J272" i="42"/>
  <c r="K272" i="42"/>
  <c r="N272" i="42"/>
  <c r="P272" i="42"/>
  <c r="AD272" i="42"/>
  <c r="J273" i="42"/>
  <c r="K273" i="42"/>
  <c r="N273" i="42"/>
  <c r="P273" i="42"/>
  <c r="AD273" i="42"/>
  <c r="J274" i="42"/>
  <c r="K274" i="42"/>
  <c r="N274" i="42"/>
  <c r="P274" i="42"/>
  <c r="AD274" i="42"/>
  <c r="J275" i="42"/>
  <c r="K275" i="42"/>
  <c r="N275" i="42"/>
  <c r="P275" i="42"/>
  <c r="AD275" i="42"/>
  <c r="J276" i="42"/>
  <c r="K276" i="42"/>
  <c r="N276" i="42"/>
  <c r="P276" i="42"/>
  <c r="AD276" i="42"/>
  <c r="J277" i="42"/>
  <c r="K277" i="42"/>
  <c r="N277" i="42"/>
  <c r="P277" i="42"/>
  <c r="AD277" i="42"/>
  <c r="J278" i="42"/>
  <c r="K278" i="42"/>
  <c r="N278" i="42"/>
  <c r="P278" i="42"/>
  <c r="AD278" i="42"/>
  <c r="J279" i="42"/>
  <c r="K279" i="42"/>
  <c r="N279" i="42"/>
  <c r="P279" i="42"/>
  <c r="AD279" i="42"/>
  <c r="J280" i="42"/>
  <c r="K280" i="42"/>
  <c r="N280" i="42"/>
  <c r="P280" i="42"/>
  <c r="AD280" i="42"/>
  <c r="J281" i="42"/>
  <c r="K281" i="42"/>
  <c r="N281" i="42"/>
  <c r="P281" i="42"/>
  <c r="AD281" i="42"/>
  <c r="J282" i="42"/>
  <c r="K282" i="42"/>
  <c r="N282" i="42"/>
  <c r="P282" i="42"/>
  <c r="AD282" i="42"/>
  <c r="J283" i="42"/>
  <c r="K283" i="42"/>
  <c r="N283" i="42"/>
  <c r="P283" i="42"/>
  <c r="AD283" i="42"/>
  <c r="J284" i="42"/>
  <c r="K284" i="42"/>
  <c r="N284" i="42"/>
  <c r="P284" i="42"/>
  <c r="AD284" i="42"/>
  <c r="J285" i="42"/>
  <c r="K285" i="42"/>
  <c r="N285" i="42"/>
  <c r="P285" i="42"/>
  <c r="AD285" i="42"/>
  <c r="J286" i="42"/>
  <c r="K286" i="42"/>
  <c r="N286" i="42"/>
  <c r="P286" i="42"/>
  <c r="AD286" i="42"/>
  <c r="J287" i="42"/>
  <c r="K287" i="42"/>
  <c r="N287" i="42"/>
  <c r="P287" i="42"/>
  <c r="AD287" i="42"/>
  <c r="J288" i="42"/>
  <c r="K288" i="42"/>
  <c r="N288" i="42"/>
  <c r="P288" i="42"/>
  <c r="AD288" i="42"/>
  <c r="J289" i="42"/>
  <c r="K289" i="42"/>
  <c r="N289" i="42"/>
  <c r="P289" i="42"/>
  <c r="AD289" i="42"/>
  <c r="J290" i="42"/>
  <c r="K290" i="42"/>
  <c r="N290" i="42"/>
  <c r="P290" i="42"/>
  <c r="AD290" i="42"/>
  <c r="J291" i="42"/>
  <c r="K291" i="42"/>
  <c r="N291" i="42"/>
  <c r="P291" i="42"/>
  <c r="AD291" i="42"/>
  <c r="J292" i="42"/>
  <c r="K292" i="42"/>
  <c r="N292" i="42"/>
  <c r="P292" i="42"/>
  <c r="AD292" i="42"/>
  <c r="J293" i="42"/>
  <c r="K293" i="42"/>
  <c r="N293" i="42"/>
  <c r="P293" i="42"/>
  <c r="AD293" i="42"/>
  <c r="J294" i="42"/>
  <c r="K294" i="42"/>
  <c r="N294" i="42"/>
  <c r="P294" i="42"/>
  <c r="AD294" i="42"/>
  <c r="J295" i="42"/>
  <c r="K295" i="42"/>
  <c r="N295" i="42"/>
  <c r="P295" i="42"/>
  <c r="AD295" i="42"/>
  <c r="J296" i="42"/>
  <c r="K296" i="42"/>
  <c r="N296" i="42"/>
  <c r="P296" i="42"/>
  <c r="AD296" i="42"/>
  <c r="J297" i="42"/>
  <c r="K297" i="42"/>
  <c r="N297" i="42"/>
  <c r="P297" i="42"/>
  <c r="AD297" i="42"/>
  <c r="J298" i="42"/>
  <c r="K298" i="42"/>
  <c r="N298" i="42"/>
  <c r="P298" i="42"/>
  <c r="AD298" i="42"/>
  <c r="J299" i="42"/>
  <c r="K299" i="42"/>
  <c r="N299" i="42"/>
  <c r="P299" i="42"/>
  <c r="AD299" i="42"/>
  <c r="J300" i="42"/>
  <c r="K300" i="42"/>
  <c r="N300" i="42"/>
  <c r="P300" i="42"/>
  <c r="AD300" i="42"/>
  <c r="J301" i="42"/>
  <c r="K301" i="42"/>
  <c r="N301" i="42"/>
  <c r="P301" i="42"/>
  <c r="AD301" i="42"/>
  <c r="J302" i="42"/>
  <c r="K302" i="42"/>
  <c r="N302" i="42"/>
  <c r="P302" i="42"/>
  <c r="AD302" i="42"/>
  <c r="J303" i="42"/>
  <c r="K303" i="42"/>
  <c r="N303" i="42"/>
  <c r="P303" i="42"/>
  <c r="AD303" i="42"/>
  <c r="I304" i="42"/>
  <c r="R304" i="42"/>
  <c r="V304" i="42"/>
  <c r="W304" i="42"/>
  <c r="Z304" i="42"/>
  <c r="AB123" i="42" l="1"/>
  <c r="AB119" i="42"/>
  <c r="AB115" i="42"/>
  <c r="AB111" i="42"/>
  <c r="AB103" i="42"/>
  <c r="L80" i="42"/>
  <c r="S80" i="42" s="1"/>
  <c r="AB235" i="42"/>
  <c r="AB143" i="42"/>
  <c r="AB128" i="42"/>
  <c r="L205" i="42"/>
  <c r="S205" i="42" s="1"/>
  <c r="T157" i="42"/>
  <c r="AB125" i="42"/>
  <c r="AB121" i="42"/>
  <c r="AB117" i="42"/>
  <c r="AB254" i="42"/>
  <c r="AB246" i="42"/>
  <c r="L82" i="42"/>
  <c r="T204" i="42"/>
  <c r="AB245" i="42"/>
  <c r="AB237" i="42"/>
  <c r="L235" i="42"/>
  <c r="AB113" i="42"/>
  <c r="AB105" i="42"/>
  <c r="AB255" i="42"/>
  <c r="L233" i="42"/>
  <c r="L192" i="42"/>
  <c r="S192" i="42" s="1"/>
  <c r="T188" i="42"/>
  <c r="T172" i="42"/>
  <c r="L168" i="42"/>
  <c r="L227" i="42"/>
  <c r="S227" i="42" s="1"/>
  <c r="L219" i="42"/>
  <c r="S219" i="42" s="1"/>
  <c r="T207" i="42"/>
  <c r="X207" i="42" s="1"/>
  <c r="T205" i="42"/>
  <c r="T197" i="42"/>
  <c r="L173" i="42"/>
  <c r="S173" i="42" s="1"/>
  <c r="T161" i="42"/>
  <c r="S82" i="42"/>
  <c r="T203" i="42"/>
  <c r="T196" i="42"/>
  <c r="T195" i="42"/>
  <c r="T175" i="42"/>
  <c r="L153" i="42"/>
  <c r="S153" i="42" s="1"/>
  <c r="L152" i="42"/>
  <c r="S152" i="42" s="1"/>
  <c r="AB28" i="42"/>
  <c r="L302" i="42"/>
  <c r="S302" i="42" s="1"/>
  <c r="U302" i="42" s="1"/>
  <c r="AB293" i="42"/>
  <c r="AB289" i="42"/>
  <c r="AB285" i="42"/>
  <c r="AB281" i="42"/>
  <c r="AB249" i="42"/>
  <c r="T212" i="42"/>
  <c r="T200" i="42"/>
  <c r="T199" i="42"/>
  <c r="L197" i="42"/>
  <c r="S197" i="42" s="1"/>
  <c r="L193" i="42"/>
  <c r="S193" i="42" s="1"/>
  <c r="L181" i="42"/>
  <c r="S181" i="42" s="1"/>
  <c r="L177" i="42"/>
  <c r="S177" i="42" s="1"/>
  <c r="T163" i="42"/>
  <c r="L161" i="42"/>
  <c r="S161" i="42" s="1"/>
  <c r="L157" i="42"/>
  <c r="S157" i="42" s="1"/>
  <c r="AB154" i="42"/>
  <c r="AB149" i="42"/>
  <c r="AB145" i="42"/>
  <c r="AB134" i="42"/>
  <c r="AB130" i="42"/>
  <c r="L47" i="42"/>
  <c r="S47" i="42" s="1"/>
  <c r="U47" i="42" s="1"/>
  <c r="AB247" i="42"/>
  <c r="T210" i="42"/>
  <c r="L201" i="42"/>
  <c r="S201" i="42" s="1"/>
  <c r="L200" i="42"/>
  <c r="S200" i="42" s="1"/>
  <c r="T192" i="42"/>
  <c r="T180" i="42"/>
  <c r="T179" i="42"/>
  <c r="T176" i="42"/>
  <c r="T169" i="42"/>
  <c r="T165" i="42"/>
  <c r="AB162" i="42"/>
  <c r="T155" i="42"/>
  <c r="AB147" i="42"/>
  <c r="AB144" i="42"/>
  <c r="AB136" i="42"/>
  <c r="AB132" i="42"/>
  <c r="AB109" i="42"/>
  <c r="AB108" i="42"/>
  <c r="T201" i="42"/>
  <c r="T153" i="42"/>
  <c r="L241" i="42"/>
  <c r="S241" i="42" s="1"/>
  <c r="U241" i="42" s="1"/>
  <c r="T218" i="42"/>
  <c r="T214" i="42"/>
  <c r="L212" i="42"/>
  <c r="S212" i="42" s="1"/>
  <c r="T189" i="42"/>
  <c r="L185" i="42"/>
  <c r="S185" i="42" s="1"/>
  <c r="T173" i="42"/>
  <c r="T168" i="42"/>
  <c r="L165" i="42"/>
  <c r="S165" i="42" s="1"/>
  <c r="L164" i="42"/>
  <c r="S164" i="42" s="1"/>
  <c r="AB158" i="42"/>
  <c r="T151" i="42"/>
  <c r="AB141" i="42"/>
  <c r="AB107" i="42"/>
  <c r="AB104" i="42"/>
  <c r="T100" i="42"/>
  <c r="L77" i="42"/>
  <c r="S77" i="42" s="1"/>
  <c r="L73" i="42"/>
  <c r="S73" i="42" s="1"/>
  <c r="U73" i="42" s="1"/>
  <c r="L50" i="42"/>
  <c r="S50" i="42" s="1"/>
  <c r="AB7" i="42"/>
  <c r="L300" i="42"/>
  <c r="S300" i="42" s="1"/>
  <c r="L296" i="42"/>
  <c r="S296" i="42" s="1"/>
  <c r="U296" i="42" s="1"/>
  <c r="L253" i="42"/>
  <c r="S253" i="42" s="1"/>
  <c r="U253" i="42" s="1"/>
  <c r="AB243" i="42"/>
  <c r="AB239" i="42"/>
  <c r="L196" i="42"/>
  <c r="S196" i="42" s="1"/>
  <c r="L172" i="42"/>
  <c r="L160" i="42"/>
  <c r="S160" i="42" s="1"/>
  <c r="T193" i="42"/>
  <c r="AB251" i="42"/>
  <c r="AB242" i="42"/>
  <c r="AB238" i="42"/>
  <c r="L225" i="42"/>
  <c r="S225" i="42" s="1"/>
  <c r="L216" i="42"/>
  <c r="S216" i="42" s="1"/>
  <c r="T209" i="42"/>
  <c r="L204" i="42"/>
  <c r="S204" i="42" s="1"/>
  <c r="L191" i="42"/>
  <c r="S191" i="42" s="1"/>
  <c r="L188" i="42"/>
  <c r="S188" i="42" s="1"/>
  <c r="T187" i="42"/>
  <c r="T184" i="42"/>
  <c r="T181" i="42"/>
  <c r="T171" i="42"/>
  <c r="L169" i="42"/>
  <c r="AB166" i="42"/>
  <c r="T159" i="42"/>
  <c r="L156" i="42"/>
  <c r="S156" i="42" s="1"/>
  <c r="T191" i="42"/>
  <c r="T177" i="42"/>
  <c r="L303" i="42"/>
  <c r="S303" i="42" s="1"/>
  <c r="AC303" i="42" s="1"/>
  <c r="L299" i="42"/>
  <c r="S299" i="42" s="1"/>
  <c r="L295" i="42"/>
  <c r="S295" i="42" s="1"/>
  <c r="U295" i="42" s="1"/>
  <c r="AB290" i="42"/>
  <c r="AB286" i="42"/>
  <c r="AB282" i="42"/>
  <c r="L259" i="42"/>
  <c r="S259" i="42" s="1"/>
  <c r="T227" i="42"/>
  <c r="AB218" i="42"/>
  <c r="L187" i="42"/>
  <c r="S187" i="42" s="1"/>
  <c r="T164" i="42"/>
  <c r="T160" i="42"/>
  <c r="T156" i="42"/>
  <c r="T152" i="42"/>
  <c r="AB140" i="42"/>
  <c r="AB126" i="42"/>
  <c r="AB122" i="42"/>
  <c r="AB118" i="42"/>
  <c r="AB114" i="42"/>
  <c r="AB110" i="42"/>
  <c r="L100" i="42"/>
  <c r="S100" i="42" s="1"/>
  <c r="P304" i="42"/>
  <c r="L189" i="42"/>
  <c r="S189" i="42" s="1"/>
  <c r="L184" i="42"/>
  <c r="S184" i="42" s="1"/>
  <c r="L180" i="42"/>
  <c r="S180" i="42" s="1"/>
  <c r="L176" i="42"/>
  <c r="S176" i="42" s="1"/>
  <c r="T216" i="42"/>
  <c r="T185" i="42"/>
  <c r="K304" i="42"/>
  <c r="L301" i="42"/>
  <c r="S301" i="42" s="1"/>
  <c r="AB260" i="42"/>
  <c r="L257" i="42"/>
  <c r="S257" i="42" s="1"/>
  <c r="AB250" i="42"/>
  <c r="AB241" i="42"/>
  <c r="T219" i="42"/>
  <c r="L203" i="42"/>
  <c r="S203" i="42" s="1"/>
  <c r="AB193" i="42"/>
  <c r="AD304" i="42"/>
  <c r="L171" i="42"/>
  <c r="S171" i="42" s="1"/>
  <c r="AB167" i="42"/>
  <c r="AB163" i="42"/>
  <c r="AB159" i="42"/>
  <c r="AB155" i="42"/>
  <c r="AB151" i="42"/>
  <c r="AB148" i="42"/>
  <c r="AB138" i="42"/>
  <c r="AB124" i="42"/>
  <c r="AB120" i="42"/>
  <c r="AB116" i="42"/>
  <c r="AB112" i="42"/>
  <c r="L70" i="42"/>
  <c r="S70" i="42" s="1"/>
  <c r="AC70" i="42" s="1"/>
  <c r="T69" i="42"/>
  <c r="T28" i="42"/>
  <c r="N304" i="42"/>
  <c r="L249" i="42"/>
  <c r="S249" i="42" s="1"/>
  <c r="U249" i="42" s="1"/>
  <c r="L240" i="42"/>
  <c r="S240" i="42" s="1"/>
  <c r="U240" i="42" s="1"/>
  <c r="AB240" i="42"/>
  <c r="L236" i="42"/>
  <c r="S236" i="42" s="1"/>
  <c r="U236" i="42" s="1"/>
  <c r="AB236" i="42"/>
  <c r="L231" i="42"/>
  <c r="S231" i="42" s="1"/>
  <c r="T221" i="42"/>
  <c r="L221" i="42"/>
  <c r="S221" i="42" s="1"/>
  <c r="T213" i="42"/>
  <c r="L213" i="42"/>
  <c r="S213" i="42" s="1"/>
  <c r="AB202" i="42"/>
  <c r="T202" i="42"/>
  <c r="L202" i="42"/>
  <c r="S202" i="42" s="1"/>
  <c r="L199" i="42"/>
  <c r="S199" i="42" s="1"/>
  <c r="AB186" i="42"/>
  <c r="T186" i="42"/>
  <c r="L186" i="42"/>
  <c r="S186" i="42" s="1"/>
  <c r="T183" i="42"/>
  <c r="L183" i="42"/>
  <c r="S183" i="42" s="1"/>
  <c r="AB170" i="42"/>
  <c r="T170" i="42"/>
  <c r="L170" i="42"/>
  <c r="S170" i="42" s="1"/>
  <c r="L261" i="42"/>
  <c r="S261" i="42" s="1"/>
  <c r="AB261" i="42"/>
  <c r="L244" i="42"/>
  <c r="S244" i="42" s="1"/>
  <c r="U244" i="42" s="1"/>
  <c r="AB244" i="42"/>
  <c r="AB303" i="42"/>
  <c r="AB302" i="42"/>
  <c r="AB301" i="42"/>
  <c r="AB300" i="42"/>
  <c r="AB299" i="42"/>
  <c r="AB298" i="42"/>
  <c r="L298" i="42"/>
  <c r="S298" i="42" s="1"/>
  <c r="AB297" i="42"/>
  <c r="L297" i="42"/>
  <c r="S297" i="42" s="1"/>
  <c r="U297" i="42" s="1"/>
  <c r="AB296" i="42"/>
  <c r="AB295" i="42"/>
  <c r="AB294" i="42"/>
  <c r="L294" i="42"/>
  <c r="S294" i="42" s="1"/>
  <c r="AB292" i="42"/>
  <c r="AB288" i="42"/>
  <c r="AB284" i="42"/>
  <c r="AB276" i="42"/>
  <c r="L252" i="42"/>
  <c r="S252" i="42" s="1"/>
  <c r="U252" i="42" s="1"/>
  <c r="AB252" i="42"/>
  <c r="L245" i="42"/>
  <c r="S245" i="42" s="1"/>
  <c r="U245" i="42" s="1"/>
  <c r="AB198" i="42"/>
  <c r="T198" i="42"/>
  <c r="L198" i="42"/>
  <c r="S198" i="42" s="1"/>
  <c r="L195" i="42"/>
  <c r="S195" i="42" s="1"/>
  <c r="AB182" i="42"/>
  <c r="T182" i="42"/>
  <c r="L182" i="42"/>
  <c r="S182" i="42" s="1"/>
  <c r="L179" i="42"/>
  <c r="S179" i="42" s="1"/>
  <c r="AB206" i="42"/>
  <c r="T206" i="42"/>
  <c r="L206" i="42"/>
  <c r="S206" i="42" s="1"/>
  <c r="AB190" i="42"/>
  <c r="T190" i="42"/>
  <c r="L190" i="42"/>
  <c r="S190" i="42" s="1"/>
  <c r="AB174" i="42"/>
  <c r="T174" i="42"/>
  <c r="L174" i="42"/>
  <c r="S174" i="42" s="1"/>
  <c r="T303" i="42"/>
  <c r="T302" i="42"/>
  <c r="T301" i="42"/>
  <c r="T300" i="42"/>
  <c r="T299" i="42"/>
  <c r="T298" i="42"/>
  <c r="T297" i="42"/>
  <c r="T296" i="42"/>
  <c r="T295" i="42"/>
  <c r="T294" i="42"/>
  <c r="AB291" i="42"/>
  <c r="AB253" i="42"/>
  <c r="L248" i="42"/>
  <c r="S248" i="42" s="1"/>
  <c r="U248" i="42" s="1"/>
  <c r="AB248" i="42"/>
  <c r="T229" i="42"/>
  <c r="L229" i="42"/>
  <c r="S229" i="42" s="1"/>
  <c r="L223" i="42"/>
  <c r="S223" i="42" s="1"/>
  <c r="T217" i="42"/>
  <c r="L217" i="42"/>
  <c r="S217" i="42" s="1"/>
  <c r="L207" i="42"/>
  <c r="AB194" i="42"/>
  <c r="T194" i="42"/>
  <c r="L194" i="42"/>
  <c r="S194" i="42" s="1"/>
  <c r="AB178" i="42"/>
  <c r="T178" i="42"/>
  <c r="L178" i="42"/>
  <c r="S178" i="42" s="1"/>
  <c r="L175" i="42"/>
  <c r="S175" i="42" s="1"/>
  <c r="AB259" i="42"/>
  <c r="AB257" i="42"/>
  <c r="L254" i="42"/>
  <c r="S254" i="42" s="1"/>
  <c r="U254" i="42" s="1"/>
  <c r="L250" i="42"/>
  <c r="S250" i="42" s="1"/>
  <c r="U250" i="42" s="1"/>
  <c r="L246" i="42"/>
  <c r="S246" i="42" s="1"/>
  <c r="U246" i="42" s="1"/>
  <c r="L242" i="42"/>
  <c r="S242" i="42" s="1"/>
  <c r="U242" i="42" s="1"/>
  <c r="L238" i="42"/>
  <c r="S238" i="42" s="1"/>
  <c r="U238" i="42" s="1"/>
  <c r="T233" i="42"/>
  <c r="T225" i="42"/>
  <c r="L218" i="42"/>
  <c r="S218" i="42" s="1"/>
  <c r="L214" i="42"/>
  <c r="S214" i="42" s="1"/>
  <c r="L210" i="42"/>
  <c r="S210" i="42" s="1"/>
  <c r="AB204" i="42"/>
  <c r="AB200" i="42"/>
  <c r="AB196" i="42"/>
  <c r="AB192" i="42"/>
  <c r="AB188" i="42"/>
  <c r="AB184" i="42"/>
  <c r="AB180" i="42"/>
  <c r="AB176" i="42"/>
  <c r="AB172" i="42"/>
  <c r="AB168" i="42"/>
  <c r="L166" i="42"/>
  <c r="S166" i="42" s="1"/>
  <c r="AB164" i="42"/>
  <c r="L162" i="42"/>
  <c r="S162" i="42" s="1"/>
  <c r="AB160" i="42"/>
  <c r="L158" i="42"/>
  <c r="S158" i="42" s="1"/>
  <c r="AB156" i="42"/>
  <c r="L154" i="42"/>
  <c r="S154" i="42" s="1"/>
  <c r="AB152" i="42"/>
  <c r="AB106" i="42"/>
  <c r="AB99" i="42"/>
  <c r="L81" i="42"/>
  <c r="S81" i="42" s="1"/>
  <c r="L74" i="42"/>
  <c r="S74" i="42" s="1"/>
  <c r="L72" i="42"/>
  <c r="S72" i="42" s="1"/>
  <c r="AB66" i="42"/>
  <c r="AB62" i="42"/>
  <c r="L51" i="42"/>
  <c r="S51" i="42" s="1"/>
  <c r="L46" i="42"/>
  <c r="S46" i="42" s="1"/>
  <c r="T9" i="42"/>
  <c r="AB258" i="42"/>
  <c r="AB256" i="42"/>
  <c r="L255" i="42"/>
  <c r="S255" i="42" s="1"/>
  <c r="AC255" i="42" s="1"/>
  <c r="L251" i="42"/>
  <c r="S251" i="42" s="1"/>
  <c r="U251" i="42" s="1"/>
  <c r="L247" i="42"/>
  <c r="S247" i="42" s="1"/>
  <c r="U247" i="42" s="1"/>
  <c r="L243" i="42"/>
  <c r="S243" i="42" s="1"/>
  <c r="U243" i="42" s="1"/>
  <c r="L239" i="42"/>
  <c r="S239" i="42" s="1"/>
  <c r="U239" i="42" s="1"/>
  <c r="T235" i="42"/>
  <c r="AB207" i="42"/>
  <c r="AE207" i="42" s="1"/>
  <c r="AB205" i="42"/>
  <c r="AB201" i="42"/>
  <c r="AB197" i="42"/>
  <c r="AB189" i="42"/>
  <c r="AB185" i="42"/>
  <c r="AB181" i="42"/>
  <c r="AB177" i="42"/>
  <c r="AB173" i="42"/>
  <c r="AB169" i="42"/>
  <c r="L167" i="42"/>
  <c r="S167" i="42" s="1"/>
  <c r="T166" i="42"/>
  <c r="AB165" i="42"/>
  <c r="L163" i="42"/>
  <c r="S163" i="42" s="1"/>
  <c r="T162" i="42"/>
  <c r="AB161" i="42"/>
  <c r="L159" i="42"/>
  <c r="S159" i="42" s="1"/>
  <c r="T158" i="42"/>
  <c r="AB157" i="42"/>
  <c r="L155" i="42"/>
  <c r="S155" i="42" s="1"/>
  <c r="T154" i="42"/>
  <c r="AB153" i="42"/>
  <c r="L151" i="42"/>
  <c r="S151" i="42" s="1"/>
  <c r="L78" i="42"/>
  <c r="S78" i="42" s="1"/>
  <c r="L76" i="42"/>
  <c r="S76" i="42" s="1"/>
  <c r="L69" i="42"/>
  <c r="S69" i="42" s="1"/>
  <c r="U69" i="42" s="1"/>
  <c r="AB65" i="42"/>
  <c r="AB61" i="42"/>
  <c r="T167" i="42"/>
  <c r="L237" i="42"/>
  <c r="S237" i="42" s="1"/>
  <c r="U237" i="42" s="1"/>
  <c r="T231" i="42"/>
  <c r="T223" i="42"/>
  <c r="S207" i="42"/>
  <c r="AB203" i="42"/>
  <c r="AB199" i="42"/>
  <c r="AB195" i="42"/>
  <c r="AB191" i="42"/>
  <c r="AB187" i="42"/>
  <c r="AB183" i="42"/>
  <c r="AB179" i="42"/>
  <c r="AB175" i="42"/>
  <c r="AB171" i="42"/>
  <c r="AB100" i="42"/>
  <c r="L291" i="42"/>
  <c r="S291" i="42" s="1"/>
  <c r="T291" i="42"/>
  <c r="L290" i="42"/>
  <c r="S290" i="42" s="1"/>
  <c r="T290" i="42"/>
  <c r="AB287" i="42"/>
  <c r="L287" i="42"/>
  <c r="S287" i="42" s="1"/>
  <c r="T287" i="42"/>
  <c r="AB283" i="42"/>
  <c r="L283" i="42"/>
  <c r="S283" i="42" s="1"/>
  <c r="T283" i="42"/>
  <c r="L282" i="42"/>
  <c r="S282" i="42" s="1"/>
  <c r="T282" i="42"/>
  <c r="L281" i="42"/>
  <c r="S281" i="42" s="1"/>
  <c r="T281" i="42"/>
  <c r="AB280" i="42"/>
  <c r="L280" i="42"/>
  <c r="S280" i="42" s="1"/>
  <c r="T280" i="42"/>
  <c r="AB279" i="42"/>
  <c r="L279" i="42"/>
  <c r="S279" i="42" s="1"/>
  <c r="T279" i="42"/>
  <c r="AB278" i="42"/>
  <c r="L278" i="42"/>
  <c r="S278" i="42" s="1"/>
  <c r="T278" i="42"/>
  <c r="AB277" i="42"/>
  <c r="L277" i="42"/>
  <c r="S277" i="42" s="1"/>
  <c r="T277" i="42"/>
  <c r="L276" i="42"/>
  <c r="S276" i="42" s="1"/>
  <c r="T276" i="42"/>
  <c r="AB275" i="42"/>
  <c r="L275" i="42"/>
  <c r="S275" i="42" s="1"/>
  <c r="T275" i="42"/>
  <c r="AB274" i="42"/>
  <c r="L274" i="42"/>
  <c r="S274" i="42" s="1"/>
  <c r="T274" i="42"/>
  <c r="AB273" i="42"/>
  <c r="L273" i="42"/>
  <c r="S273" i="42" s="1"/>
  <c r="T273" i="42"/>
  <c r="AB272" i="42"/>
  <c r="L272" i="42"/>
  <c r="S272" i="42" s="1"/>
  <c r="T272" i="42"/>
  <c r="AB271" i="42"/>
  <c r="L271" i="42"/>
  <c r="S271" i="42" s="1"/>
  <c r="T271" i="42"/>
  <c r="AB270" i="42"/>
  <c r="L270" i="42"/>
  <c r="S270" i="42" s="1"/>
  <c r="T270" i="42"/>
  <c r="AB269" i="42"/>
  <c r="L269" i="42"/>
  <c r="S269" i="42" s="1"/>
  <c r="T269" i="42"/>
  <c r="AB268" i="42"/>
  <c r="L268" i="42"/>
  <c r="S268" i="42" s="1"/>
  <c r="T268" i="42"/>
  <c r="AB267" i="42"/>
  <c r="L267" i="42"/>
  <c r="S267" i="42" s="1"/>
  <c r="T267" i="42"/>
  <c r="AB266" i="42"/>
  <c r="L266" i="42"/>
  <c r="S266" i="42" s="1"/>
  <c r="T266" i="42"/>
  <c r="AB265" i="42"/>
  <c r="L265" i="42"/>
  <c r="S265" i="42" s="1"/>
  <c r="T265" i="42"/>
  <c r="AB264" i="42"/>
  <c r="L264" i="42"/>
  <c r="S264" i="42" s="1"/>
  <c r="T264" i="42"/>
  <c r="AB263" i="42"/>
  <c r="L263" i="42"/>
  <c r="S263" i="42" s="1"/>
  <c r="T263" i="42"/>
  <c r="AB262" i="42"/>
  <c r="L262" i="42"/>
  <c r="S262" i="42" s="1"/>
  <c r="T262" i="42"/>
  <c r="T228" i="42"/>
  <c r="AB228" i="42"/>
  <c r="L228" i="42"/>
  <c r="S228" i="42" s="1"/>
  <c r="T220" i="42"/>
  <c r="AB220" i="42"/>
  <c r="L220" i="42"/>
  <c r="S220" i="42" s="1"/>
  <c r="L146" i="42"/>
  <c r="S146" i="42" s="1"/>
  <c r="T146" i="42"/>
  <c r="AB146" i="42"/>
  <c r="L91" i="42"/>
  <c r="S91" i="42" s="1"/>
  <c r="T91" i="42"/>
  <c r="AB91" i="42"/>
  <c r="L293" i="42"/>
  <c r="S293" i="42" s="1"/>
  <c r="T293" i="42"/>
  <c r="L292" i="42"/>
  <c r="S292" i="42" s="1"/>
  <c r="T292" i="42"/>
  <c r="L289" i="42"/>
  <c r="S289" i="42" s="1"/>
  <c r="T289" i="42"/>
  <c r="L288" i="42"/>
  <c r="S288" i="42" s="1"/>
  <c r="T288" i="42"/>
  <c r="L286" i="42"/>
  <c r="S286" i="42" s="1"/>
  <c r="T286" i="42"/>
  <c r="L285" i="42"/>
  <c r="S285" i="42" s="1"/>
  <c r="T285" i="42"/>
  <c r="L284" i="42"/>
  <c r="S284" i="42" s="1"/>
  <c r="T284" i="42"/>
  <c r="J304" i="42"/>
  <c r="L260" i="42"/>
  <c r="S260" i="42" s="1"/>
  <c r="L258" i="42"/>
  <c r="S258" i="42" s="1"/>
  <c r="L256" i="42"/>
  <c r="S256" i="42" s="1"/>
  <c r="T230" i="42"/>
  <c r="AB230" i="42"/>
  <c r="L230" i="42"/>
  <c r="S230" i="42" s="1"/>
  <c r="T222" i="42"/>
  <c r="AB222" i="42"/>
  <c r="L222" i="42"/>
  <c r="S222" i="42" s="1"/>
  <c r="L150" i="42"/>
  <c r="S150" i="42" s="1"/>
  <c r="T150" i="42"/>
  <c r="AB150" i="42"/>
  <c r="T232" i="42"/>
  <c r="AB232" i="42"/>
  <c r="L232" i="42"/>
  <c r="S232" i="42" s="1"/>
  <c r="T224" i="42"/>
  <c r="AB224" i="42"/>
  <c r="L224" i="42"/>
  <c r="S224" i="42" s="1"/>
  <c r="AB215" i="42"/>
  <c r="T215" i="42"/>
  <c r="L215" i="42"/>
  <c r="S215" i="42" s="1"/>
  <c r="AB211" i="42"/>
  <c r="T211" i="42"/>
  <c r="L211" i="42"/>
  <c r="S211" i="42" s="1"/>
  <c r="T234" i="42"/>
  <c r="AB234" i="42"/>
  <c r="L234" i="42"/>
  <c r="S234" i="42" s="1"/>
  <c r="T226" i="42"/>
  <c r="AB226" i="42"/>
  <c r="L226" i="42"/>
  <c r="S226" i="42" s="1"/>
  <c r="L208" i="42"/>
  <c r="S208" i="42" s="1"/>
  <c r="T208" i="42"/>
  <c r="AB208" i="42"/>
  <c r="L142" i="42"/>
  <c r="S142" i="42" s="1"/>
  <c r="T142" i="42"/>
  <c r="AB142" i="42"/>
  <c r="T261" i="42"/>
  <c r="T260" i="42"/>
  <c r="T259" i="42"/>
  <c r="T258" i="42"/>
  <c r="T257" i="42"/>
  <c r="T256" i="42"/>
  <c r="T255" i="42"/>
  <c r="T254" i="42"/>
  <c r="T253" i="42"/>
  <c r="X253" i="42" s="1"/>
  <c r="Y253" i="42" s="1"/>
  <c r="AA253" i="42" s="1"/>
  <c r="T252" i="42"/>
  <c r="T251" i="42"/>
  <c r="T250" i="42"/>
  <c r="T249" i="42"/>
  <c r="T248" i="42"/>
  <c r="T247" i="42"/>
  <c r="T246" i="42"/>
  <c r="T245" i="42"/>
  <c r="T244" i="42"/>
  <c r="T243" i="42"/>
  <c r="T242" i="42"/>
  <c r="T241" i="42"/>
  <c r="T240" i="42"/>
  <c r="T239" i="42"/>
  <c r="T238" i="42"/>
  <c r="T237" i="42"/>
  <c r="T236" i="42"/>
  <c r="AB233" i="42"/>
  <c r="AB231" i="42"/>
  <c r="AB229" i="42"/>
  <c r="AB227" i="42"/>
  <c r="AB225" i="42"/>
  <c r="AB223" i="42"/>
  <c r="AB221" i="42"/>
  <c r="AB219" i="42"/>
  <c r="AB216" i="42"/>
  <c r="AB212" i="42"/>
  <c r="L209" i="42"/>
  <c r="S209" i="42" s="1"/>
  <c r="AB209" i="42"/>
  <c r="L147" i="42"/>
  <c r="S147" i="42" s="1"/>
  <c r="T147" i="42"/>
  <c r="L143" i="42"/>
  <c r="S143" i="42" s="1"/>
  <c r="T143" i="42"/>
  <c r="L83" i="42"/>
  <c r="S83" i="42" s="1"/>
  <c r="T83" i="42"/>
  <c r="AB83" i="42"/>
  <c r="S235" i="42"/>
  <c r="S233" i="42"/>
  <c r="AB217" i="42"/>
  <c r="AB213" i="42"/>
  <c r="L148" i="42"/>
  <c r="S148" i="42" s="1"/>
  <c r="T148" i="42"/>
  <c r="L144" i="42"/>
  <c r="S144" i="42" s="1"/>
  <c r="T144" i="42"/>
  <c r="AB214" i="42"/>
  <c r="AB210" i="42"/>
  <c r="L149" i="42"/>
  <c r="S149" i="42" s="1"/>
  <c r="T149" i="42"/>
  <c r="L145" i="42"/>
  <c r="S145" i="42" s="1"/>
  <c r="T145" i="42"/>
  <c r="L141" i="42"/>
  <c r="S141" i="42" s="1"/>
  <c r="T141" i="42"/>
  <c r="S172" i="42"/>
  <c r="S169" i="42"/>
  <c r="S168" i="42"/>
  <c r="L139" i="42"/>
  <c r="S139" i="42" s="1"/>
  <c r="T139" i="42"/>
  <c r="L137" i="42"/>
  <c r="S137" i="42" s="1"/>
  <c r="T137" i="42"/>
  <c r="L135" i="42"/>
  <c r="S135" i="42" s="1"/>
  <c r="T135" i="42"/>
  <c r="L133" i="42"/>
  <c r="S133" i="42" s="1"/>
  <c r="T133" i="42"/>
  <c r="L131" i="42"/>
  <c r="S131" i="42" s="1"/>
  <c r="T131" i="42"/>
  <c r="L129" i="42"/>
  <c r="S129" i="42" s="1"/>
  <c r="T129" i="42"/>
  <c r="L127" i="42"/>
  <c r="S127" i="42" s="1"/>
  <c r="T127" i="42"/>
  <c r="L63" i="42"/>
  <c r="S63" i="42" s="1"/>
  <c r="T63" i="42"/>
  <c r="L101" i="42"/>
  <c r="S101" i="42" s="1"/>
  <c r="T101" i="42"/>
  <c r="L95" i="42"/>
  <c r="S95" i="42" s="1"/>
  <c r="T95" i="42"/>
  <c r="AB95" i="42"/>
  <c r="L87" i="42"/>
  <c r="S87" i="42" s="1"/>
  <c r="T87" i="42"/>
  <c r="AB87" i="42"/>
  <c r="L140" i="42"/>
  <c r="S140" i="42" s="1"/>
  <c r="T140" i="42"/>
  <c r="AB139" i="42"/>
  <c r="L138" i="42"/>
  <c r="S138" i="42" s="1"/>
  <c r="T138" i="42"/>
  <c r="AB137" i="42"/>
  <c r="L136" i="42"/>
  <c r="S136" i="42" s="1"/>
  <c r="T136" i="42"/>
  <c r="AB135" i="42"/>
  <c r="L134" i="42"/>
  <c r="S134" i="42" s="1"/>
  <c r="T134" i="42"/>
  <c r="AB133" i="42"/>
  <c r="L132" i="42"/>
  <c r="S132" i="42" s="1"/>
  <c r="T132" i="42"/>
  <c r="AB131" i="42"/>
  <c r="L130" i="42"/>
  <c r="S130" i="42" s="1"/>
  <c r="T130" i="42"/>
  <c r="AB129" i="42"/>
  <c r="L128" i="42"/>
  <c r="S128" i="42" s="1"/>
  <c r="T128" i="42"/>
  <c r="AB127" i="42"/>
  <c r="T126" i="42"/>
  <c r="L126" i="42"/>
  <c r="S126" i="42" s="1"/>
  <c r="T125" i="42"/>
  <c r="L125" i="42"/>
  <c r="S125" i="42" s="1"/>
  <c r="T124" i="42"/>
  <c r="L124" i="42"/>
  <c r="S124" i="42" s="1"/>
  <c r="T123" i="42"/>
  <c r="L123" i="42"/>
  <c r="S123" i="42" s="1"/>
  <c r="T122" i="42"/>
  <c r="L122" i="42"/>
  <c r="S122" i="42" s="1"/>
  <c r="T121" i="42"/>
  <c r="L121" i="42"/>
  <c r="S121" i="42" s="1"/>
  <c r="T120" i="42"/>
  <c r="L120" i="42"/>
  <c r="S120" i="42" s="1"/>
  <c r="T119" i="42"/>
  <c r="L119" i="42"/>
  <c r="S119" i="42" s="1"/>
  <c r="T118" i="42"/>
  <c r="L118" i="42"/>
  <c r="S118" i="42" s="1"/>
  <c r="T117" i="42"/>
  <c r="L117" i="42"/>
  <c r="S117" i="42" s="1"/>
  <c r="T116" i="42"/>
  <c r="L116" i="42"/>
  <c r="S116" i="42" s="1"/>
  <c r="T115" i="42"/>
  <c r="L115" i="42"/>
  <c r="S115" i="42" s="1"/>
  <c r="T114" i="42"/>
  <c r="L114" i="42"/>
  <c r="S114" i="42" s="1"/>
  <c r="T113" i="42"/>
  <c r="L113" i="42"/>
  <c r="S113" i="42" s="1"/>
  <c r="T112" i="42"/>
  <c r="L112" i="42"/>
  <c r="S112" i="42" s="1"/>
  <c r="L107" i="42"/>
  <c r="S107" i="42" s="1"/>
  <c r="T107" i="42"/>
  <c r="L105" i="42"/>
  <c r="S105" i="42" s="1"/>
  <c r="T105" i="42"/>
  <c r="AB102" i="42"/>
  <c r="L102" i="42"/>
  <c r="S102" i="42" s="1"/>
  <c r="T102" i="42"/>
  <c r="AB98" i="42"/>
  <c r="L98" i="42"/>
  <c r="S98" i="42" s="1"/>
  <c r="T98" i="42"/>
  <c r="U82" i="42"/>
  <c r="AC82" i="42"/>
  <c r="L67" i="42"/>
  <c r="S67" i="42" s="1"/>
  <c r="T67" i="42"/>
  <c r="L111" i="42"/>
  <c r="S111" i="42" s="1"/>
  <c r="T111" i="42"/>
  <c r="L110" i="42"/>
  <c r="S110" i="42" s="1"/>
  <c r="T110" i="42"/>
  <c r="L109" i="42"/>
  <c r="S109" i="42" s="1"/>
  <c r="T109" i="42"/>
  <c r="L108" i="42"/>
  <c r="S108" i="42" s="1"/>
  <c r="T108" i="42"/>
  <c r="L106" i="42"/>
  <c r="S106" i="42" s="1"/>
  <c r="T106" i="42"/>
  <c r="T104" i="42"/>
  <c r="L104" i="42"/>
  <c r="S104" i="42" s="1"/>
  <c r="T103" i="42"/>
  <c r="L103" i="42"/>
  <c r="S103" i="42" s="1"/>
  <c r="AB101" i="42"/>
  <c r="T99" i="42"/>
  <c r="L99" i="42"/>
  <c r="S99" i="42" s="1"/>
  <c r="L94" i="42"/>
  <c r="S94" i="42" s="1"/>
  <c r="T94" i="42"/>
  <c r="AB94" i="42"/>
  <c r="L90" i="42"/>
  <c r="S90" i="42" s="1"/>
  <c r="T90" i="42"/>
  <c r="AB90" i="42"/>
  <c r="L86" i="42"/>
  <c r="S86" i="42" s="1"/>
  <c r="T86" i="42"/>
  <c r="AB86" i="42"/>
  <c r="L79" i="42"/>
  <c r="S79" i="42" s="1"/>
  <c r="L75" i="42"/>
  <c r="S75" i="42" s="1"/>
  <c r="L71" i="42"/>
  <c r="S71" i="42" s="1"/>
  <c r="L68" i="42"/>
  <c r="S68" i="42" s="1"/>
  <c r="T68" i="42"/>
  <c r="AB67" i="42"/>
  <c r="L64" i="42"/>
  <c r="S64" i="42" s="1"/>
  <c r="T64" i="42"/>
  <c r="AB63" i="42"/>
  <c r="L60" i="42"/>
  <c r="S60" i="42" s="1"/>
  <c r="T60" i="42"/>
  <c r="L97" i="42"/>
  <c r="S97" i="42" s="1"/>
  <c r="T97" i="42"/>
  <c r="AB97" i="42"/>
  <c r="L93" i="42"/>
  <c r="S93" i="42" s="1"/>
  <c r="T93" i="42"/>
  <c r="AB93" i="42"/>
  <c r="L89" i="42"/>
  <c r="S89" i="42" s="1"/>
  <c r="T89" i="42"/>
  <c r="AB89" i="42"/>
  <c r="L85" i="42"/>
  <c r="S85" i="42" s="1"/>
  <c r="T85" i="42"/>
  <c r="AB85" i="42"/>
  <c r="AB68" i="42"/>
  <c r="L65" i="42"/>
  <c r="S65" i="42" s="1"/>
  <c r="T65" i="42"/>
  <c r="AB64" i="42"/>
  <c r="L61" i="42"/>
  <c r="S61" i="42" s="1"/>
  <c r="T61" i="42"/>
  <c r="AB60" i="42"/>
  <c r="L58" i="42"/>
  <c r="S58" i="42" s="1"/>
  <c r="T58" i="42"/>
  <c r="AB58" i="42"/>
  <c r="L54" i="42"/>
  <c r="S54" i="42" s="1"/>
  <c r="T54" i="42"/>
  <c r="AB54" i="42"/>
  <c r="L96" i="42"/>
  <c r="S96" i="42" s="1"/>
  <c r="T96" i="42"/>
  <c r="AB96" i="42"/>
  <c r="L92" i="42"/>
  <c r="S92" i="42" s="1"/>
  <c r="T92" i="42"/>
  <c r="AB92" i="42"/>
  <c r="L88" i="42"/>
  <c r="S88" i="42" s="1"/>
  <c r="T88" i="42"/>
  <c r="AB88" i="42"/>
  <c r="L84" i="42"/>
  <c r="S84" i="42" s="1"/>
  <c r="T84" i="42"/>
  <c r="AB84" i="42"/>
  <c r="L66" i="42"/>
  <c r="S66" i="42" s="1"/>
  <c r="T66" i="42"/>
  <c r="L62" i="42"/>
  <c r="S62" i="42" s="1"/>
  <c r="T62" i="42"/>
  <c r="T44" i="42"/>
  <c r="L57" i="42"/>
  <c r="S57" i="42" s="1"/>
  <c r="T57" i="42"/>
  <c r="AB57" i="42"/>
  <c r="L53" i="42"/>
  <c r="S53" i="42" s="1"/>
  <c r="T53" i="42"/>
  <c r="AB53" i="42"/>
  <c r="L52" i="42"/>
  <c r="S52" i="42" s="1"/>
  <c r="L48" i="42"/>
  <c r="S48" i="42" s="1"/>
  <c r="L44" i="42"/>
  <c r="S44" i="42" s="1"/>
  <c r="AB41" i="42"/>
  <c r="L40" i="42"/>
  <c r="S40" i="42" s="1"/>
  <c r="T40" i="42"/>
  <c r="AB40" i="42"/>
  <c r="L38" i="42"/>
  <c r="S38" i="42" s="1"/>
  <c r="T38" i="42"/>
  <c r="AB38" i="42"/>
  <c r="L30" i="42"/>
  <c r="S30" i="42" s="1"/>
  <c r="T30" i="42"/>
  <c r="AB30" i="42"/>
  <c r="AB82" i="42"/>
  <c r="AB81" i="42"/>
  <c r="AB80" i="42"/>
  <c r="AB79" i="42"/>
  <c r="AB78" i="42"/>
  <c r="AB77" i="42"/>
  <c r="AB76" i="42"/>
  <c r="AB75" i="42"/>
  <c r="AB74" i="42"/>
  <c r="AB73" i="42"/>
  <c r="AB72" i="42"/>
  <c r="AB71" i="42"/>
  <c r="AB70" i="42"/>
  <c r="AB69" i="42"/>
  <c r="L56" i="42"/>
  <c r="S56" i="42" s="1"/>
  <c r="T56" i="42"/>
  <c r="AB56" i="42"/>
  <c r="L49" i="42"/>
  <c r="S49" i="42" s="1"/>
  <c r="L45" i="42"/>
  <c r="S45" i="42" s="1"/>
  <c r="AB42" i="42"/>
  <c r="T82" i="42"/>
  <c r="T81" i="42"/>
  <c r="T80" i="42"/>
  <c r="T79" i="42"/>
  <c r="T78" i="42"/>
  <c r="T77" i="42"/>
  <c r="T76" i="42"/>
  <c r="T75" i="42"/>
  <c r="T74" i="42"/>
  <c r="T73" i="42"/>
  <c r="T72" i="42"/>
  <c r="T71" i="42"/>
  <c r="T70" i="42"/>
  <c r="L59" i="42"/>
  <c r="S59" i="42" s="1"/>
  <c r="T59" i="42"/>
  <c r="AB59" i="42"/>
  <c r="L55" i="42"/>
  <c r="S55" i="42" s="1"/>
  <c r="T55" i="42"/>
  <c r="AB55" i="42"/>
  <c r="AB43" i="42"/>
  <c r="L34" i="42"/>
  <c r="S34" i="42" s="1"/>
  <c r="T34" i="42"/>
  <c r="AB34" i="42"/>
  <c r="L43" i="42"/>
  <c r="S43" i="42" s="1"/>
  <c r="T43" i="42"/>
  <c r="L42" i="42"/>
  <c r="S42" i="42" s="1"/>
  <c r="T42" i="42"/>
  <c r="L41" i="42"/>
  <c r="S41" i="42" s="1"/>
  <c r="T41" i="42"/>
  <c r="L39" i="42"/>
  <c r="S39" i="42" s="1"/>
  <c r="T39" i="42"/>
  <c r="AB39" i="42"/>
  <c r="L35" i="42"/>
  <c r="S35" i="42" s="1"/>
  <c r="T35" i="42"/>
  <c r="AB35" i="42"/>
  <c r="L31" i="42"/>
  <c r="S31" i="42" s="1"/>
  <c r="T31" i="42"/>
  <c r="AB31" i="42"/>
  <c r="AB20" i="42"/>
  <c r="L20" i="42"/>
  <c r="S20" i="42" s="1"/>
  <c r="T20" i="42"/>
  <c r="AB16" i="42"/>
  <c r="L16" i="42"/>
  <c r="S16" i="42" s="1"/>
  <c r="T16" i="42"/>
  <c r="AB12" i="42"/>
  <c r="L12" i="42"/>
  <c r="S12" i="42" s="1"/>
  <c r="T12" i="42"/>
  <c r="AB52" i="42"/>
  <c r="AB51" i="42"/>
  <c r="AB50" i="42"/>
  <c r="AB49" i="42"/>
  <c r="AB48" i="42"/>
  <c r="AB47" i="42"/>
  <c r="AB46" i="42"/>
  <c r="AB45" i="42"/>
  <c r="AB44" i="42"/>
  <c r="L36" i="42"/>
  <c r="S36" i="42" s="1"/>
  <c r="T36" i="42"/>
  <c r="AB36" i="42"/>
  <c r="L32" i="42"/>
  <c r="S32" i="42" s="1"/>
  <c r="T32" i="42"/>
  <c r="AB32" i="42"/>
  <c r="T52" i="42"/>
  <c r="T51" i="42"/>
  <c r="T50" i="42"/>
  <c r="T49" i="42"/>
  <c r="T48" i="42"/>
  <c r="T47" i="42"/>
  <c r="T46" i="42"/>
  <c r="T45" i="42"/>
  <c r="L37" i="42"/>
  <c r="S37" i="42" s="1"/>
  <c r="T37" i="42"/>
  <c r="AB37" i="42"/>
  <c r="L33" i="42"/>
  <c r="S33" i="42" s="1"/>
  <c r="T33" i="42"/>
  <c r="AB33" i="42"/>
  <c r="L29" i="42"/>
  <c r="S29" i="42" s="1"/>
  <c r="T29" i="42"/>
  <c r="AB29" i="42"/>
  <c r="L8" i="42"/>
  <c r="S8" i="42" s="1"/>
  <c r="T8" i="42"/>
  <c r="AB23" i="42"/>
  <c r="L23" i="42"/>
  <c r="S23" i="42" s="1"/>
  <c r="T23" i="42"/>
  <c r="AB19" i="42"/>
  <c r="L19" i="42"/>
  <c r="S19" i="42" s="1"/>
  <c r="T19" i="42"/>
  <c r="AB15" i="42"/>
  <c r="L15" i="42"/>
  <c r="S15" i="42" s="1"/>
  <c r="T15" i="42"/>
  <c r="AB13" i="42"/>
  <c r="L13" i="42"/>
  <c r="S13" i="42" s="1"/>
  <c r="T13" i="42"/>
  <c r="AB9" i="42"/>
  <c r="L9" i="42"/>
  <c r="S9" i="42" s="1"/>
  <c r="AB8" i="42"/>
  <c r="AB22" i="42"/>
  <c r="L22" i="42"/>
  <c r="S22" i="42" s="1"/>
  <c r="T22" i="42"/>
  <c r="AB18" i="42"/>
  <c r="L18" i="42"/>
  <c r="S18" i="42" s="1"/>
  <c r="T18" i="42"/>
  <c r="AB14" i="42"/>
  <c r="L14" i="42"/>
  <c r="S14" i="42" s="1"/>
  <c r="T14" i="42"/>
  <c r="AB10" i="42"/>
  <c r="L10" i="42"/>
  <c r="S10" i="42" s="1"/>
  <c r="T10" i="42"/>
  <c r="L6" i="42"/>
  <c r="S6" i="42" s="1"/>
  <c r="T6" i="42"/>
  <c r="AB6" i="42"/>
  <c r="L28" i="42"/>
  <c r="S28" i="42" s="1"/>
  <c r="AB27" i="42"/>
  <c r="L27" i="42"/>
  <c r="S27" i="42" s="1"/>
  <c r="T27" i="42"/>
  <c r="AB26" i="42"/>
  <c r="L26" i="42"/>
  <c r="S26" i="42" s="1"/>
  <c r="T26" i="42"/>
  <c r="AB25" i="42"/>
  <c r="L25" i="42"/>
  <c r="S25" i="42" s="1"/>
  <c r="T25" i="42"/>
  <c r="AB24" i="42"/>
  <c r="L24" i="42"/>
  <c r="S24" i="42" s="1"/>
  <c r="T24" i="42"/>
  <c r="AB21" i="42"/>
  <c r="L21" i="42"/>
  <c r="S21" i="42" s="1"/>
  <c r="T21" i="42"/>
  <c r="AB17" i="42"/>
  <c r="L17" i="42"/>
  <c r="S17" i="42" s="1"/>
  <c r="T17" i="42"/>
  <c r="AB11" i="42"/>
  <c r="L11" i="42"/>
  <c r="S11" i="42" s="1"/>
  <c r="T11" i="42"/>
  <c r="L7" i="42"/>
  <c r="S7" i="42" s="1"/>
  <c r="T7" i="42"/>
  <c r="AC242" i="42" l="1"/>
  <c r="AE242" i="42" s="1"/>
  <c r="AF242" i="42" s="1"/>
  <c r="AC253" i="42"/>
  <c r="X245" i="42"/>
  <c r="Y245" i="42" s="1"/>
  <c r="AA245" i="42" s="1"/>
  <c r="AC80" i="42"/>
  <c r="AE80" i="42" s="1"/>
  <c r="AF80" i="42" s="1"/>
  <c r="U80" i="42"/>
  <c r="AC240" i="42"/>
  <c r="AE240" i="42" s="1"/>
  <c r="AF240" i="42" s="1"/>
  <c r="Y207" i="42"/>
  <c r="AA207" i="42" s="1"/>
  <c r="AC254" i="42"/>
  <c r="AE254" i="42" s="1"/>
  <c r="AF254" i="42" s="1"/>
  <c r="AF207" i="42"/>
  <c r="AC247" i="42"/>
  <c r="AE247" i="42" s="1"/>
  <c r="AF247" i="42" s="1"/>
  <c r="AC302" i="42"/>
  <c r="AE302" i="42" s="1"/>
  <c r="AF302" i="42" s="1"/>
  <c r="X296" i="42"/>
  <c r="Y296" i="42" s="1"/>
  <c r="AA296" i="42" s="1"/>
  <c r="X246" i="42"/>
  <c r="Y246" i="42" s="1"/>
  <c r="AA246" i="42" s="1"/>
  <c r="X247" i="42"/>
  <c r="Y247" i="42" s="1"/>
  <c r="AA247" i="42" s="1"/>
  <c r="AC245" i="42"/>
  <c r="AE245" i="42" s="1"/>
  <c r="AF245" i="42" s="1"/>
  <c r="AE255" i="42"/>
  <c r="AF255" i="42" s="1"/>
  <c r="AE253" i="42"/>
  <c r="AF253" i="42" s="1"/>
  <c r="X240" i="42"/>
  <c r="Y240" i="42" s="1"/>
  <c r="AA240" i="42" s="1"/>
  <c r="AC239" i="42"/>
  <c r="AE239" i="42" s="1"/>
  <c r="AF239" i="42" s="1"/>
  <c r="AC246" i="42"/>
  <c r="AE246" i="42" s="1"/>
  <c r="AF246" i="42" s="1"/>
  <c r="X69" i="42"/>
  <c r="Y69" i="42" s="1"/>
  <c r="AA69" i="42" s="1"/>
  <c r="U70" i="42"/>
  <c r="X70" i="42" s="1"/>
  <c r="Y70" i="42" s="1"/>
  <c r="AA70" i="42" s="1"/>
  <c r="X241" i="42"/>
  <c r="Y241" i="42" s="1"/>
  <c r="AA241" i="42" s="1"/>
  <c r="X249" i="42"/>
  <c r="Y249" i="42" s="1"/>
  <c r="AA249" i="42" s="1"/>
  <c r="AC249" i="42"/>
  <c r="AE249" i="42" s="1"/>
  <c r="AF249" i="42" s="1"/>
  <c r="AC47" i="42"/>
  <c r="AE47" i="42" s="1"/>
  <c r="AF47" i="42" s="1"/>
  <c r="X238" i="42"/>
  <c r="Y238" i="42" s="1"/>
  <c r="AA238" i="42" s="1"/>
  <c r="X254" i="42"/>
  <c r="Y254" i="42" s="1"/>
  <c r="AA254" i="42" s="1"/>
  <c r="X239" i="42"/>
  <c r="Y239" i="42" s="1"/>
  <c r="AA239" i="42" s="1"/>
  <c r="X236" i="42"/>
  <c r="Y236" i="42" s="1"/>
  <c r="AA236" i="42" s="1"/>
  <c r="AC236" i="42"/>
  <c r="AE236" i="42" s="1"/>
  <c r="AF236" i="42" s="1"/>
  <c r="AC73" i="42"/>
  <c r="AE73" i="42" s="1"/>
  <c r="AF73" i="42" s="1"/>
  <c r="X82" i="42"/>
  <c r="Y82" i="42" s="1"/>
  <c r="AA82" i="42" s="1"/>
  <c r="AC238" i="42"/>
  <c r="AE238" i="42" s="1"/>
  <c r="AF238" i="42" s="1"/>
  <c r="U255" i="42"/>
  <c r="X255" i="42" s="1"/>
  <c r="Y255" i="42" s="1"/>
  <c r="AA255" i="42" s="1"/>
  <c r="AC296" i="42"/>
  <c r="AE296" i="42" s="1"/>
  <c r="AF296" i="42" s="1"/>
  <c r="X302" i="42"/>
  <c r="Y302" i="42" s="1"/>
  <c r="AA302" i="42" s="1"/>
  <c r="AC257" i="42"/>
  <c r="AE257" i="42" s="1"/>
  <c r="AF257" i="42" s="1"/>
  <c r="U257" i="42"/>
  <c r="X257" i="42" s="1"/>
  <c r="Y257" i="42" s="1"/>
  <c r="AA257" i="42" s="1"/>
  <c r="AC259" i="42"/>
  <c r="AE259" i="42" s="1"/>
  <c r="AF259" i="42" s="1"/>
  <c r="U259" i="42"/>
  <c r="X259" i="42" s="1"/>
  <c r="Y259" i="42" s="1"/>
  <c r="AA259" i="42" s="1"/>
  <c r="X47" i="42"/>
  <c r="Y47" i="42" s="1"/>
  <c r="AA47" i="42" s="1"/>
  <c r="X243" i="42"/>
  <c r="Y243" i="42" s="1"/>
  <c r="AA243" i="42" s="1"/>
  <c r="X251" i="42"/>
  <c r="Y251" i="42" s="1"/>
  <c r="AA251" i="42" s="1"/>
  <c r="X73" i="42"/>
  <c r="Y73" i="42" s="1"/>
  <c r="AA73" i="42" s="1"/>
  <c r="AC251" i="42"/>
  <c r="AE251" i="42" s="1"/>
  <c r="AF251" i="42" s="1"/>
  <c r="AC295" i="42"/>
  <c r="AE295" i="42" s="1"/>
  <c r="AF295" i="42" s="1"/>
  <c r="U294" i="42"/>
  <c r="X294" i="42" s="1"/>
  <c r="Y294" i="42" s="1"/>
  <c r="AA294" i="42" s="1"/>
  <c r="AC294" i="42"/>
  <c r="AE294" i="42" s="1"/>
  <c r="AF294" i="42" s="1"/>
  <c r="U300" i="42"/>
  <c r="X300" i="42" s="1"/>
  <c r="Y300" i="42" s="1"/>
  <c r="AA300" i="42" s="1"/>
  <c r="AC300" i="42"/>
  <c r="AE300" i="42" s="1"/>
  <c r="AF300" i="42" s="1"/>
  <c r="AC77" i="42"/>
  <c r="AE77" i="42" s="1"/>
  <c r="AF77" i="42" s="1"/>
  <c r="U77" i="42"/>
  <c r="X77" i="42" s="1"/>
  <c r="Y77" i="42" s="1"/>
  <c r="AA77" i="42" s="1"/>
  <c r="U299" i="42"/>
  <c r="X299" i="42" s="1"/>
  <c r="Y299" i="42" s="1"/>
  <c r="AA299" i="42" s="1"/>
  <c r="AC299" i="42"/>
  <c r="AE299" i="42" s="1"/>
  <c r="AF299" i="42" s="1"/>
  <c r="AC50" i="42"/>
  <c r="AE50" i="42" s="1"/>
  <c r="AF50" i="42" s="1"/>
  <c r="U50" i="42"/>
  <c r="X50" i="42" s="1"/>
  <c r="Y50" i="42" s="1"/>
  <c r="AA50" i="42" s="1"/>
  <c r="AC241" i="42"/>
  <c r="AE241" i="42" s="1"/>
  <c r="AF241" i="42" s="1"/>
  <c r="AE303" i="42"/>
  <c r="AF303" i="42" s="1"/>
  <c r="X250" i="42"/>
  <c r="Y250" i="42" s="1"/>
  <c r="AA250" i="42" s="1"/>
  <c r="AC250" i="42"/>
  <c r="AE250" i="42" s="1"/>
  <c r="AF250" i="42" s="1"/>
  <c r="X297" i="42"/>
  <c r="Y297" i="42" s="1"/>
  <c r="AA297" i="42" s="1"/>
  <c r="U301" i="42"/>
  <c r="X301" i="42" s="1"/>
  <c r="Y301" i="42" s="1"/>
  <c r="AA301" i="42" s="1"/>
  <c r="AC301" i="42"/>
  <c r="AE301" i="42" s="1"/>
  <c r="AF301" i="42" s="1"/>
  <c r="U51" i="42"/>
  <c r="X51" i="42" s="1"/>
  <c r="Y51" i="42" s="1"/>
  <c r="AA51" i="42" s="1"/>
  <c r="AC51" i="42"/>
  <c r="AE51" i="42" s="1"/>
  <c r="AF51" i="42" s="1"/>
  <c r="AC69" i="42"/>
  <c r="AE69" i="42" s="1"/>
  <c r="AF69" i="42" s="1"/>
  <c r="X244" i="42"/>
  <c r="Y244" i="42" s="1"/>
  <c r="AA244" i="42" s="1"/>
  <c r="X248" i="42"/>
  <c r="Y248" i="42" s="1"/>
  <c r="AA248" i="42" s="1"/>
  <c r="X252" i="42"/>
  <c r="Y252" i="42" s="1"/>
  <c r="AA252" i="42" s="1"/>
  <c r="AC243" i="42"/>
  <c r="AE243" i="42" s="1"/>
  <c r="AF243" i="42" s="1"/>
  <c r="U303" i="42"/>
  <c r="X303" i="42" s="1"/>
  <c r="Y303" i="42" s="1"/>
  <c r="AA303" i="42" s="1"/>
  <c r="X237" i="42"/>
  <c r="Y237" i="42" s="1"/>
  <c r="AA237" i="42" s="1"/>
  <c r="AC237" i="42"/>
  <c r="AE237" i="42" s="1"/>
  <c r="AF237" i="42" s="1"/>
  <c r="AC244" i="42"/>
  <c r="AE244" i="42" s="1"/>
  <c r="AF244" i="42" s="1"/>
  <c r="AC297" i="42"/>
  <c r="AE297" i="42" s="1"/>
  <c r="AF297" i="42" s="1"/>
  <c r="X80" i="42"/>
  <c r="Y80" i="42" s="1"/>
  <c r="AA80" i="42" s="1"/>
  <c r="X242" i="42"/>
  <c r="Y242" i="42" s="1"/>
  <c r="AA242" i="42" s="1"/>
  <c r="AC248" i="42"/>
  <c r="AE248" i="42" s="1"/>
  <c r="AF248" i="42" s="1"/>
  <c r="AC252" i="42"/>
  <c r="AE252" i="42" s="1"/>
  <c r="AF252" i="42" s="1"/>
  <c r="X295" i="42"/>
  <c r="Y295" i="42" s="1"/>
  <c r="AA295" i="42" s="1"/>
  <c r="AC74" i="42"/>
  <c r="AE74" i="42" s="1"/>
  <c r="AF74" i="42" s="1"/>
  <c r="U74" i="42"/>
  <c r="X74" i="42" s="1"/>
  <c r="Y74" i="42" s="1"/>
  <c r="AA74" i="42" s="1"/>
  <c r="AC298" i="42"/>
  <c r="AE298" i="42" s="1"/>
  <c r="AF298" i="42" s="1"/>
  <c r="U298" i="42"/>
  <c r="X298" i="42" s="1"/>
  <c r="Y298" i="42" s="1"/>
  <c r="AA298" i="42" s="1"/>
  <c r="U76" i="42"/>
  <c r="X76" i="42" s="1"/>
  <c r="Y76" i="42" s="1"/>
  <c r="AA76" i="42" s="1"/>
  <c r="AC76" i="42"/>
  <c r="AE76" i="42" s="1"/>
  <c r="AF76" i="42" s="1"/>
  <c r="U81" i="42"/>
  <c r="X81" i="42" s="1"/>
  <c r="Y81" i="42" s="1"/>
  <c r="AA81" i="42" s="1"/>
  <c r="AC81" i="42"/>
  <c r="AE81" i="42" s="1"/>
  <c r="AF81" i="42" s="1"/>
  <c r="U78" i="42"/>
  <c r="X78" i="42" s="1"/>
  <c r="Y78" i="42" s="1"/>
  <c r="AA78" i="42" s="1"/>
  <c r="AC78" i="42"/>
  <c r="AE78" i="42" s="1"/>
  <c r="AF78" i="42" s="1"/>
  <c r="AC46" i="42"/>
  <c r="AE46" i="42" s="1"/>
  <c r="AF46" i="42" s="1"/>
  <c r="U46" i="42"/>
  <c r="X46" i="42" s="1"/>
  <c r="Y46" i="42" s="1"/>
  <c r="AA46" i="42" s="1"/>
  <c r="AC72" i="42"/>
  <c r="AE72" i="42" s="1"/>
  <c r="AF72" i="42" s="1"/>
  <c r="U72" i="42"/>
  <c r="X72" i="42" s="1"/>
  <c r="Y72" i="42" s="1"/>
  <c r="AA72" i="42" s="1"/>
  <c r="U261" i="42"/>
  <c r="X261" i="42" s="1"/>
  <c r="Y261" i="42" s="1"/>
  <c r="AA261" i="42" s="1"/>
  <c r="AC261" i="42"/>
  <c r="AE261" i="42" s="1"/>
  <c r="AF261" i="42" s="1"/>
  <c r="U21" i="42"/>
  <c r="X21" i="42" s="1"/>
  <c r="Y21" i="42" s="1"/>
  <c r="AA21" i="42" s="1"/>
  <c r="AC21" i="42"/>
  <c r="AE21" i="42" s="1"/>
  <c r="AF21" i="42" s="1"/>
  <c r="U12" i="42"/>
  <c r="X12" i="42" s="1"/>
  <c r="Y12" i="42" s="1"/>
  <c r="AA12" i="42" s="1"/>
  <c r="AC12" i="42"/>
  <c r="AE12" i="42" s="1"/>
  <c r="AF12" i="42" s="1"/>
  <c r="AC112" i="42"/>
  <c r="AE112" i="42" s="1"/>
  <c r="AF112" i="42" s="1"/>
  <c r="U112" i="42"/>
  <c r="X112" i="42" s="1"/>
  <c r="Y112" i="42" s="1"/>
  <c r="AA112" i="42" s="1"/>
  <c r="AC124" i="42"/>
  <c r="AE124" i="42" s="1"/>
  <c r="AF124" i="42" s="1"/>
  <c r="U124" i="42"/>
  <c r="X124" i="42" s="1"/>
  <c r="Y124" i="42" s="1"/>
  <c r="AA124" i="42" s="1"/>
  <c r="U17" i="42"/>
  <c r="X17" i="42" s="1"/>
  <c r="Y17" i="42" s="1"/>
  <c r="AA17" i="42" s="1"/>
  <c r="AC17" i="42"/>
  <c r="AE17" i="42" s="1"/>
  <c r="AF17" i="42" s="1"/>
  <c r="U26" i="42"/>
  <c r="X26" i="42" s="1"/>
  <c r="Y26" i="42" s="1"/>
  <c r="AA26" i="42" s="1"/>
  <c r="AC26" i="42"/>
  <c r="AE26" i="42" s="1"/>
  <c r="AF26" i="42" s="1"/>
  <c r="U23" i="42"/>
  <c r="X23" i="42" s="1"/>
  <c r="Y23" i="42" s="1"/>
  <c r="AA23" i="42" s="1"/>
  <c r="AC23" i="42"/>
  <c r="AE23" i="42" s="1"/>
  <c r="AF23" i="42" s="1"/>
  <c r="U36" i="42"/>
  <c r="X36" i="42" s="1"/>
  <c r="Y36" i="42" s="1"/>
  <c r="AA36" i="42" s="1"/>
  <c r="AC36" i="42"/>
  <c r="AE36" i="42" s="1"/>
  <c r="AF36" i="42" s="1"/>
  <c r="U35" i="42"/>
  <c r="X35" i="42" s="1"/>
  <c r="Y35" i="42" s="1"/>
  <c r="AA35" i="42" s="1"/>
  <c r="AC35" i="42"/>
  <c r="AE35" i="42" s="1"/>
  <c r="AF35" i="42" s="1"/>
  <c r="U27" i="42"/>
  <c r="X27" i="42" s="1"/>
  <c r="Y27" i="42" s="1"/>
  <c r="AA27" i="42" s="1"/>
  <c r="AC27" i="42"/>
  <c r="AE27" i="42" s="1"/>
  <c r="AF27" i="42" s="1"/>
  <c r="AC120" i="42"/>
  <c r="AE120" i="42" s="1"/>
  <c r="AF120" i="42" s="1"/>
  <c r="U120" i="42"/>
  <c r="X120" i="42" s="1"/>
  <c r="Y120" i="42" s="1"/>
  <c r="AA120" i="42" s="1"/>
  <c r="U13" i="42"/>
  <c r="X13" i="42" s="1"/>
  <c r="Y13" i="42" s="1"/>
  <c r="AA13" i="42" s="1"/>
  <c r="AC13" i="42"/>
  <c r="AE13" i="42" s="1"/>
  <c r="AF13" i="42" s="1"/>
  <c r="U29" i="42"/>
  <c r="X29" i="42" s="1"/>
  <c r="Y29" i="42" s="1"/>
  <c r="AA29" i="42" s="1"/>
  <c r="AC29" i="42"/>
  <c r="AE29" i="42" s="1"/>
  <c r="AF29" i="42" s="1"/>
  <c r="U42" i="42"/>
  <c r="X42" i="42" s="1"/>
  <c r="Y42" i="42" s="1"/>
  <c r="AA42" i="42" s="1"/>
  <c r="AC42" i="42"/>
  <c r="AE42" i="42" s="1"/>
  <c r="AF42" i="42" s="1"/>
  <c r="AC103" i="42"/>
  <c r="AE103" i="42" s="1"/>
  <c r="AF103" i="42" s="1"/>
  <c r="U103" i="42"/>
  <c r="X103" i="42" s="1"/>
  <c r="Y103" i="42" s="1"/>
  <c r="AA103" i="42" s="1"/>
  <c r="AC116" i="42"/>
  <c r="AE116" i="42" s="1"/>
  <c r="AF116" i="42" s="1"/>
  <c r="U116" i="42"/>
  <c r="X116" i="42" s="1"/>
  <c r="Y116" i="42" s="1"/>
  <c r="AA116" i="42" s="1"/>
  <c r="U25" i="42"/>
  <c r="X25" i="42" s="1"/>
  <c r="Y25" i="42" s="1"/>
  <c r="AA25" i="42" s="1"/>
  <c r="AC25" i="42"/>
  <c r="AE25" i="42" s="1"/>
  <c r="AF25" i="42" s="1"/>
  <c r="U37" i="42"/>
  <c r="AC37" i="42"/>
  <c r="AE37" i="42" s="1"/>
  <c r="AF37" i="42" s="1"/>
  <c r="U32" i="42"/>
  <c r="X32" i="42" s="1"/>
  <c r="Y32" i="42" s="1"/>
  <c r="AA32" i="42" s="1"/>
  <c r="AC32" i="42"/>
  <c r="AE32" i="42" s="1"/>
  <c r="AF32" i="42" s="1"/>
  <c r="U31" i="42"/>
  <c r="X31" i="42" s="1"/>
  <c r="Y31" i="42" s="1"/>
  <c r="AA31" i="42" s="1"/>
  <c r="AC31" i="42"/>
  <c r="AE31" i="42" s="1"/>
  <c r="AF31" i="42" s="1"/>
  <c r="U41" i="42"/>
  <c r="X41" i="42" s="1"/>
  <c r="Y41" i="42" s="1"/>
  <c r="AA41" i="42" s="1"/>
  <c r="AC41" i="42"/>
  <c r="AE41" i="42" s="1"/>
  <c r="AF41" i="42" s="1"/>
  <c r="U24" i="42"/>
  <c r="X24" i="42" s="1"/>
  <c r="Y24" i="42" s="1"/>
  <c r="AA24" i="42" s="1"/>
  <c r="AC24" i="42"/>
  <c r="AE24" i="42" s="1"/>
  <c r="AF24" i="42" s="1"/>
  <c r="U15" i="42"/>
  <c r="X15" i="42" s="1"/>
  <c r="Y15" i="42" s="1"/>
  <c r="AA15" i="42" s="1"/>
  <c r="AC15" i="42"/>
  <c r="AE15" i="42" s="1"/>
  <c r="AF15" i="42" s="1"/>
  <c r="U33" i="42"/>
  <c r="X33" i="42" s="1"/>
  <c r="Y33" i="42" s="1"/>
  <c r="AA33" i="42" s="1"/>
  <c r="AC33" i="42"/>
  <c r="AE33" i="42" s="1"/>
  <c r="AF33" i="42" s="1"/>
  <c r="U18" i="42"/>
  <c r="X18" i="42" s="1"/>
  <c r="Y18" i="42" s="1"/>
  <c r="AA18" i="42" s="1"/>
  <c r="AC18" i="42"/>
  <c r="AE18" i="42" s="1"/>
  <c r="AF18" i="42" s="1"/>
  <c r="U39" i="42"/>
  <c r="X39" i="42" s="1"/>
  <c r="Y39" i="42" s="1"/>
  <c r="AA39" i="42" s="1"/>
  <c r="AC39" i="42"/>
  <c r="AE39" i="42" s="1"/>
  <c r="AF39" i="42" s="1"/>
  <c r="U48" i="42"/>
  <c r="X48" i="42" s="1"/>
  <c r="Y48" i="42" s="1"/>
  <c r="AA48" i="42" s="1"/>
  <c r="AC48" i="42"/>
  <c r="AE48" i="42" s="1"/>
  <c r="AF48" i="42" s="1"/>
  <c r="U84" i="42"/>
  <c r="X84" i="42" s="1"/>
  <c r="Y84" i="42" s="1"/>
  <c r="AA84" i="42" s="1"/>
  <c r="AC84" i="42"/>
  <c r="AE84" i="42" s="1"/>
  <c r="AF84" i="42" s="1"/>
  <c r="U89" i="42"/>
  <c r="X89" i="42" s="1"/>
  <c r="Y89" i="42" s="1"/>
  <c r="AA89" i="42" s="1"/>
  <c r="AC89" i="42"/>
  <c r="AE89" i="42" s="1"/>
  <c r="AF89" i="42" s="1"/>
  <c r="AC7" i="42"/>
  <c r="AE7" i="42" s="1"/>
  <c r="AF7" i="42" s="1"/>
  <c r="U7" i="42"/>
  <c r="X7" i="42" s="1"/>
  <c r="Y7" i="42" s="1"/>
  <c r="AA7" i="42" s="1"/>
  <c r="AB304" i="42"/>
  <c r="U14" i="42"/>
  <c r="X14" i="42" s="1"/>
  <c r="Y14" i="42" s="1"/>
  <c r="AA14" i="42" s="1"/>
  <c r="AC14" i="42"/>
  <c r="AE14" i="42" s="1"/>
  <c r="AF14" i="42" s="1"/>
  <c r="U34" i="42"/>
  <c r="X34" i="42" s="1"/>
  <c r="Y34" i="42" s="1"/>
  <c r="AA34" i="42" s="1"/>
  <c r="AC34" i="42"/>
  <c r="AE34" i="42" s="1"/>
  <c r="AF34" i="42" s="1"/>
  <c r="U56" i="42"/>
  <c r="X56" i="42" s="1"/>
  <c r="Y56" i="42" s="1"/>
  <c r="AA56" i="42" s="1"/>
  <c r="AC56" i="42"/>
  <c r="AE56" i="42" s="1"/>
  <c r="AF56" i="42" s="1"/>
  <c r="U38" i="42"/>
  <c r="X38" i="42" s="1"/>
  <c r="Y38" i="42" s="1"/>
  <c r="AA38" i="42" s="1"/>
  <c r="AC38" i="42"/>
  <c r="AE38" i="42" s="1"/>
  <c r="AF38" i="42" s="1"/>
  <c r="U62" i="42"/>
  <c r="X62" i="42" s="1"/>
  <c r="Y62" i="42" s="1"/>
  <c r="AA62" i="42" s="1"/>
  <c r="AC62" i="42"/>
  <c r="AE62" i="42" s="1"/>
  <c r="AF62" i="42" s="1"/>
  <c r="U58" i="42"/>
  <c r="X58" i="42" s="1"/>
  <c r="Y58" i="42" s="1"/>
  <c r="AA58" i="42" s="1"/>
  <c r="AC58" i="42"/>
  <c r="AE58" i="42" s="1"/>
  <c r="AF58" i="42" s="1"/>
  <c r="U61" i="42"/>
  <c r="X61" i="42" s="1"/>
  <c r="Y61" i="42" s="1"/>
  <c r="AA61" i="42" s="1"/>
  <c r="AC61" i="42"/>
  <c r="AE61" i="42" s="1"/>
  <c r="AF61" i="42" s="1"/>
  <c r="U65" i="42"/>
  <c r="X65" i="42" s="1"/>
  <c r="Y65" i="42" s="1"/>
  <c r="AA65" i="42" s="1"/>
  <c r="AC65" i="42"/>
  <c r="AE65" i="42" s="1"/>
  <c r="AF65" i="42" s="1"/>
  <c r="U71" i="42"/>
  <c r="X71" i="42" s="1"/>
  <c r="Y71" i="42" s="1"/>
  <c r="AA71" i="42" s="1"/>
  <c r="AC71" i="42"/>
  <c r="AE71" i="42" s="1"/>
  <c r="AF71" i="42" s="1"/>
  <c r="U90" i="42"/>
  <c r="X90" i="42" s="1"/>
  <c r="Y90" i="42" s="1"/>
  <c r="AA90" i="42" s="1"/>
  <c r="AC90" i="42"/>
  <c r="AE90" i="42" s="1"/>
  <c r="AF90" i="42" s="1"/>
  <c r="U99" i="42"/>
  <c r="X99" i="42" s="1"/>
  <c r="Y99" i="42" s="1"/>
  <c r="AA99" i="42" s="1"/>
  <c r="AC99" i="42"/>
  <c r="AE99" i="42" s="1"/>
  <c r="AF99" i="42" s="1"/>
  <c r="U108" i="42"/>
  <c r="X108" i="42" s="1"/>
  <c r="Y108" i="42" s="1"/>
  <c r="AA108" i="42" s="1"/>
  <c r="AC108" i="42"/>
  <c r="AE108" i="42" s="1"/>
  <c r="AF108" i="42" s="1"/>
  <c r="U63" i="42"/>
  <c r="X63" i="42" s="1"/>
  <c r="Y63" i="42" s="1"/>
  <c r="AA63" i="42" s="1"/>
  <c r="AC63" i="42"/>
  <c r="AE63" i="42" s="1"/>
  <c r="AF63" i="42" s="1"/>
  <c r="U222" i="42"/>
  <c r="X222" i="42" s="1"/>
  <c r="Y222" i="42" s="1"/>
  <c r="AA222" i="42" s="1"/>
  <c r="AC222" i="42"/>
  <c r="AE222" i="42" s="1"/>
  <c r="AF222" i="42" s="1"/>
  <c r="U292" i="42"/>
  <c r="X292" i="42" s="1"/>
  <c r="Y292" i="42" s="1"/>
  <c r="AA292" i="42" s="1"/>
  <c r="AC292" i="42"/>
  <c r="AE292" i="42" s="1"/>
  <c r="AF292" i="42" s="1"/>
  <c r="U267" i="42"/>
  <c r="X267" i="42" s="1"/>
  <c r="Y267" i="42" s="1"/>
  <c r="AA267" i="42" s="1"/>
  <c r="AC267" i="42"/>
  <c r="AE267" i="42" s="1"/>
  <c r="AF267" i="42" s="1"/>
  <c r="U275" i="42"/>
  <c r="X275" i="42" s="1"/>
  <c r="Y275" i="42" s="1"/>
  <c r="AA275" i="42" s="1"/>
  <c r="AC275" i="42"/>
  <c r="AE275" i="42" s="1"/>
  <c r="AF275" i="42" s="1"/>
  <c r="U278" i="42"/>
  <c r="X278" i="42" s="1"/>
  <c r="Y278" i="42" s="1"/>
  <c r="AA278" i="42" s="1"/>
  <c r="AC278" i="42"/>
  <c r="AE278" i="42" s="1"/>
  <c r="AF278" i="42" s="1"/>
  <c r="U282" i="42"/>
  <c r="X282" i="42" s="1"/>
  <c r="Y282" i="42" s="1"/>
  <c r="AA282" i="42" s="1"/>
  <c r="AC282" i="42"/>
  <c r="AE282" i="42" s="1"/>
  <c r="AF282" i="42" s="1"/>
  <c r="U290" i="42"/>
  <c r="X290" i="42" s="1"/>
  <c r="Y290" i="42" s="1"/>
  <c r="AA290" i="42" s="1"/>
  <c r="AC290" i="42"/>
  <c r="AE290" i="42" s="1"/>
  <c r="AF290" i="42" s="1"/>
  <c r="T304" i="42"/>
  <c r="U9" i="42"/>
  <c r="X9" i="42" s="1"/>
  <c r="Y9" i="42" s="1"/>
  <c r="AA9" i="42" s="1"/>
  <c r="AC9" i="42"/>
  <c r="AE9" i="42" s="1"/>
  <c r="AF9" i="42" s="1"/>
  <c r="AC8" i="42"/>
  <c r="AE8" i="42" s="1"/>
  <c r="AF8" i="42" s="1"/>
  <c r="U8" i="42"/>
  <c r="X8" i="42" s="1"/>
  <c r="Y8" i="42" s="1"/>
  <c r="AA8" i="42" s="1"/>
  <c r="U19" i="42"/>
  <c r="X19" i="42" s="1"/>
  <c r="Y19" i="42" s="1"/>
  <c r="AA19" i="42" s="1"/>
  <c r="AC19" i="42"/>
  <c r="AE19" i="42" s="1"/>
  <c r="AF19" i="42" s="1"/>
  <c r="AC43" i="42"/>
  <c r="AE43" i="42" s="1"/>
  <c r="AF43" i="42" s="1"/>
  <c r="U43" i="42"/>
  <c r="X43" i="42" s="1"/>
  <c r="Y43" i="42" s="1"/>
  <c r="AA43" i="42" s="1"/>
  <c r="U55" i="42"/>
  <c r="X55" i="42" s="1"/>
  <c r="Y55" i="42" s="1"/>
  <c r="AA55" i="42" s="1"/>
  <c r="AC55" i="42"/>
  <c r="AE55" i="42" s="1"/>
  <c r="AF55" i="42" s="1"/>
  <c r="U30" i="42"/>
  <c r="X30" i="42" s="1"/>
  <c r="Y30" i="42" s="1"/>
  <c r="AA30" i="42" s="1"/>
  <c r="AC30" i="42"/>
  <c r="AE30" i="42" s="1"/>
  <c r="AF30" i="42" s="1"/>
  <c r="U97" i="42"/>
  <c r="X97" i="42" s="1"/>
  <c r="Y97" i="42" s="1"/>
  <c r="AA97" i="42" s="1"/>
  <c r="AC97" i="42"/>
  <c r="AE97" i="42" s="1"/>
  <c r="AF97" i="42" s="1"/>
  <c r="U75" i="42"/>
  <c r="X75" i="42" s="1"/>
  <c r="Y75" i="42" s="1"/>
  <c r="AA75" i="42" s="1"/>
  <c r="AC75" i="42"/>
  <c r="AE75" i="42" s="1"/>
  <c r="AF75" i="42" s="1"/>
  <c r="U106" i="42"/>
  <c r="X106" i="42" s="1"/>
  <c r="Y106" i="42" s="1"/>
  <c r="AA106" i="42" s="1"/>
  <c r="AC106" i="42"/>
  <c r="AE106" i="42" s="1"/>
  <c r="AF106" i="42" s="1"/>
  <c r="U110" i="42"/>
  <c r="X110" i="42" s="1"/>
  <c r="Y110" i="42" s="1"/>
  <c r="AA110" i="42" s="1"/>
  <c r="AC110" i="42"/>
  <c r="AE110" i="42" s="1"/>
  <c r="AF110" i="42" s="1"/>
  <c r="U67" i="42"/>
  <c r="X67" i="42" s="1"/>
  <c r="Y67" i="42" s="1"/>
  <c r="AA67" i="42" s="1"/>
  <c r="AC67" i="42"/>
  <c r="AE67" i="42" s="1"/>
  <c r="AF67" i="42" s="1"/>
  <c r="U86" i="42"/>
  <c r="X86" i="42" s="1"/>
  <c r="Y86" i="42" s="1"/>
  <c r="AA86" i="42" s="1"/>
  <c r="AC86" i="42"/>
  <c r="AE86" i="42" s="1"/>
  <c r="AF86" i="42" s="1"/>
  <c r="AC105" i="42"/>
  <c r="AE105" i="42" s="1"/>
  <c r="AF105" i="42" s="1"/>
  <c r="U105" i="42"/>
  <c r="X105" i="42" s="1"/>
  <c r="Y105" i="42" s="1"/>
  <c r="AA105" i="42" s="1"/>
  <c r="AC118" i="42"/>
  <c r="AE118" i="42" s="1"/>
  <c r="AF118" i="42" s="1"/>
  <c r="U118" i="42"/>
  <c r="X118" i="42" s="1"/>
  <c r="Y118" i="42" s="1"/>
  <c r="AA118" i="42" s="1"/>
  <c r="U126" i="42"/>
  <c r="X126" i="42" s="1"/>
  <c r="Y126" i="42" s="1"/>
  <c r="AA126" i="42" s="1"/>
  <c r="AC126" i="42"/>
  <c r="AE126" i="42" s="1"/>
  <c r="AF126" i="42" s="1"/>
  <c r="U128" i="42"/>
  <c r="X128" i="42" s="1"/>
  <c r="Y128" i="42" s="1"/>
  <c r="AA128" i="42" s="1"/>
  <c r="AC128" i="42"/>
  <c r="AE128" i="42" s="1"/>
  <c r="AF128" i="42" s="1"/>
  <c r="U130" i="42"/>
  <c r="X130" i="42" s="1"/>
  <c r="Y130" i="42" s="1"/>
  <c r="AA130" i="42" s="1"/>
  <c r="AC130" i="42"/>
  <c r="AE130" i="42" s="1"/>
  <c r="AF130" i="42" s="1"/>
  <c r="U132" i="42"/>
  <c r="X132" i="42" s="1"/>
  <c r="Y132" i="42" s="1"/>
  <c r="AA132" i="42" s="1"/>
  <c r="AC132" i="42"/>
  <c r="AE132" i="42" s="1"/>
  <c r="AF132" i="42" s="1"/>
  <c r="U134" i="42"/>
  <c r="X134" i="42" s="1"/>
  <c r="Y134" i="42" s="1"/>
  <c r="AA134" i="42" s="1"/>
  <c r="AC134" i="42"/>
  <c r="AE134" i="42" s="1"/>
  <c r="AF134" i="42" s="1"/>
  <c r="U136" i="42"/>
  <c r="X136" i="42" s="1"/>
  <c r="Y136" i="42" s="1"/>
  <c r="AA136" i="42" s="1"/>
  <c r="AC136" i="42"/>
  <c r="AE136" i="42" s="1"/>
  <c r="AF136" i="42" s="1"/>
  <c r="U208" i="42"/>
  <c r="X208" i="42" s="1"/>
  <c r="Y208" i="42" s="1"/>
  <c r="AA208" i="42" s="1"/>
  <c r="AC208" i="42"/>
  <c r="AE208" i="42" s="1"/>
  <c r="AF208" i="42" s="1"/>
  <c r="U284" i="42"/>
  <c r="X284" i="42" s="1"/>
  <c r="Y284" i="42" s="1"/>
  <c r="AA284" i="42" s="1"/>
  <c r="AC284" i="42"/>
  <c r="AE284" i="42" s="1"/>
  <c r="AF284" i="42" s="1"/>
  <c r="U286" i="42"/>
  <c r="X286" i="42" s="1"/>
  <c r="Y286" i="42" s="1"/>
  <c r="AA286" i="42" s="1"/>
  <c r="AC286" i="42"/>
  <c r="AE286" i="42" s="1"/>
  <c r="AF286" i="42" s="1"/>
  <c r="U289" i="42"/>
  <c r="X289" i="42" s="1"/>
  <c r="Y289" i="42" s="1"/>
  <c r="AA289" i="42" s="1"/>
  <c r="AC289" i="42"/>
  <c r="AE289" i="42" s="1"/>
  <c r="AF289" i="42" s="1"/>
  <c r="U228" i="42"/>
  <c r="X228" i="42" s="1"/>
  <c r="Y228" i="42" s="1"/>
  <c r="AA228" i="42" s="1"/>
  <c r="AC228" i="42"/>
  <c r="AE228" i="42" s="1"/>
  <c r="AF228" i="42" s="1"/>
  <c r="U262" i="42"/>
  <c r="X262" i="42" s="1"/>
  <c r="Y262" i="42" s="1"/>
  <c r="AA262" i="42" s="1"/>
  <c r="AC262" i="42"/>
  <c r="AE262" i="42" s="1"/>
  <c r="AF262" i="42" s="1"/>
  <c r="U266" i="42"/>
  <c r="X266" i="42" s="1"/>
  <c r="Y266" i="42" s="1"/>
  <c r="AA266" i="42" s="1"/>
  <c r="AC266" i="42"/>
  <c r="AE266" i="42" s="1"/>
  <c r="AF266" i="42" s="1"/>
  <c r="U270" i="42"/>
  <c r="X270" i="42" s="1"/>
  <c r="Y270" i="42" s="1"/>
  <c r="AA270" i="42" s="1"/>
  <c r="AC270" i="42"/>
  <c r="AE270" i="42" s="1"/>
  <c r="AF270" i="42" s="1"/>
  <c r="U274" i="42"/>
  <c r="X274" i="42" s="1"/>
  <c r="Y274" i="42" s="1"/>
  <c r="AA274" i="42" s="1"/>
  <c r="AC274" i="42"/>
  <c r="AE274" i="42" s="1"/>
  <c r="AF274" i="42" s="1"/>
  <c r="U277" i="42"/>
  <c r="X277" i="42" s="1"/>
  <c r="Y277" i="42" s="1"/>
  <c r="AA277" i="42" s="1"/>
  <c r="AC277" i="42"/>
  <c r="AE277" i="42" s="1"/>
  <c r="AF277" i="42" s="1"/>
  <c r="U287" i="42"/>
  <c r="X287" i="42" s="1"/>
  <c r="Y287" i="42" s="1"/>
  <c r="AA287" i="42" s="1"/>
  <c r="AC287" i="42"/>
  <c r="AE287" i="42" s="1"/>
  <c r="AF287" i="42" s="1"/>
  <c r="U10" i="42"/>
  <c r="X10" i="42" s="1"/>
  <c r="Y10" i="42" s="1"/>
  <c r="AA10" i="42" s="1"/>
  <c r="AC10" i="42"/>
  <c r="AE10" i="42" s="1"/>
  <c r="AF10" i="42" s="1"/>
  <c r="U49" i="42"/>
  <c r="X49" i="42" s="1"/>
  <c r="Y49" i="42" s="1"/>
  <c r="AA49" i="42" s="1"/>
  <c r="AC49" i="42"/>
  <c r="AE49" i="42" s="1"/>
  <c r="AF49" i="42" s="1"/>
  <c r="U53" i="42"/>
  <c r="X53" i="42" s="1"/>
  <c r="Y53" i="42" s="1"/>
  <c r="AA53" i="42" s="1"/>
  <c r="AC53" i="42"/>
  <c r="AE53" i="42" s="1"/>
  <c r="AF53" i="42" s="1"/>
  <c r="U92" i="42"/>
  <c r="X92" i="42" s="1"/>
  <c r="Y92" i="42" s="1"/>
  <c r="AA92" i="42" s="1"/>
  <c r="AC92" i="42"/>
  <c r="AE92" i="42" s="1"/>
  <c r="AF92" i="42" s="1"/>
  <c r="AC6" i="42"/>
  <c r="U6" i="42"/>
  <c r="X6" i="42" s="1"/>
  <c r="S304" i="42"/>
  <c r="L304" i="42"/>
  <c r="U22" i="42"/>
  <c r="X22" i="42" s="1"/>
  <c r="Y22" i="42" s="1"/>
  <c r="AA22" i="42" s="1"/>
  <c r="AC22" i="42"/>
  <c r="AE22" i="42" s="1"/>
  <c r="AF22" i="42" s="1"/>
  <c r="X37" i="42"/>
  <c r="Y37" i="42" s="1"/>
  <c r="AA37" i="42" s="1"/>
  <c r="U20" i="42"/>
  <c r="X20" i="42" s="1"/>
  <c r="Y20" i="42" s="1"/>
  <c r="AA20" i="42" s="1"/>
  <c r="AC20" i="42"/>
  <c r="AE20" i="42" s="1"/>
  <c r="AF20" i="42" s="1"/>
  <c r="U57" i="42"/>
  <c r="X57" i="42" s="1"/>
  <c r="Y57" i="42" s="1"/>
  <c r="AA57" i="42" s="1"/>
  <c r="AC57" i="42"/>
  <c r="AE57" i="42" s="1"/>
  <c r="AF57" i="42" s="1"/>
  <c r="U60" i="42"/>
  <c r="X60" i="42" s="1"/>
  <c r="Y60" i="42" s="1"/>
  <c r="AA60" i="42" s="1"/>
  <c r="AC60" i="42"/>
  <c r="AE60" i="42" s="1"/>
  <c r="AF60" i="42" s="1"/>
  <c r="U64" i="42"/>
  <c r="X64" i="42" s="1"/>
  <c r="Y64" i="42" s="1"/>
  <c r="AA64" i="42" s="1"/>
  <c r="AC64" i="42"/>
  <c r="AE64" i="42" s="1"/>
  <c r="AF64" i="42" s="1"/>
  <c r="U68" i="42"/>
  <c r="X68" i="42" s="1"/>
  <c r="Y68" i="42" s="1"/>
  <c r="AA68" i="42" s="1"/>
  <c r="AC68" i="42"/>
  <c r="AE68" i="42" s="1"/>
  <c r="AF68" i="42" s="1"/>
  <c r="U45" i="42"/>
  <c r="X45" i="42" s="1"/>
  <c r="Y45" i="42" s="1"/>
  <c r="AA45" i="42" s="1"/>
  <c r="AC45" i="42"/>
  <c r="AE45" i="42" s="1"/>
  <c r="AF45" i="42" s="1"/>
  <c r="U79" i="42"/>
  <c r="X79" i="42" s="1"/>
  <c r="Y79" i="42" s="1"/>
  <c r="AA79" i="42" s="1"/>
  <c r="AC79" i="42"/>
  <c r="AE79" i="42" s="1"/>
  <c r="AF79" i="42" s="1"/>
  <c r="U100" i="42"/>
  <c r="X100" i="42" s="1"/>
  <c r="Y100" i="42" s="1"/>
  <c r="AA100" i="42" s="1"/>
  <c r="AC100" i="42"/>
  <c r="AE100" i="42" s="1"/>
  <c r="AF100" i="42" s="1"/>
  <c r="U104" i="42"/>
  <c r="X104" i="42" s="1"/>
  <c r="Y104" i="42" s="1"/>
  <c r="AA104" i="42" s="1"/>
  <c r="AC104" i="42"/>
  <c r="AE104" i="42" s="1"/>
  <c r="AF104" i="42" s="1"/>
  <c r="U98" i="42"/>
  <c r="X98" i="42" s="1"/>
  <c r="Y98" i="42" s="1"/>
  <c r="AA98" i="42" s="1"/>
  <c r="AC98" i="42"/>
  <c r="AE98" i="42" s="1"/>
  <c r="AF98" i="42" s="1"/>
  <c r="U102" i="42"/>
  <c r="X102" i="42" s="1"/>
  <c r="Y102" i="42" s="1"/>
  <c r="AA102" i="42" s="1"/>
  <c r="AC102" i="42"/>
  <c r="AE102" i="42" s="1"/>
  <c r="AF102" i="42" s="1"/>
  <c r="U94" i="42"/>
  <c r="X94" i="42" s="1"/>
  <c r="Y94" i="42" s="1"/>
  <c r="AA94" i="42" s="1"/>
  <c r="AC94" i="42"/>
  <c r="AE94" i="42" s="1"/>
  <c r="AF94" i="42" s="1"/>
  <c r="AC113" i="42"/>
  <c r="AE113" i="42" s="1"/>
  <c r="AF113" i="42" s="1"/>
  <c r="U113" i="42"/>
  <c r="X113" i="42" s="1"/>
  <c r="Y113" i="42" s="1"/>
  <c r="AA113" i="42" s="1"/>
  <c r="AC115" i="42"/>
  <c r="AE115" i="42" s="1"/>
  <c r="AF115" i="42" s="1"/>
  <c r="U115" i="42"/>
  <c r="X115" i="42" s="1"/>
  <c r="Y115" i="42" s="1"/>
  <c r="AA115" i="42" s="1"/>
  <c r="AC117" i="42"/>
  <c r="AE117" i="42" s="1"/>
  <c r="AF117" i="42" s="1"/>
  <c r="U117" i="42"/>
  <c r="X117" i="42" s="1"/>
  <c r="Y117" i="42" s="1"/>
  <c r="AA117" i="42" s="1"/>
  <c r="AC119" i="42"/>
  <c r="AE119" i="42" s="1"/>
  <c r="AF119" i="42" s="1"/>
  <c r="U119" i="42"/>
  <c r="X119" i="42" s="1"/>
  <c r="Y119" i="42" s="1"/>
  <c r="AA119" i="42" s="1"/>
  <c r="AC121" i="42"/>
  <c r="AE121" i="42" s="1"/>
  <c r="AF121" i="42" s="1"/>
  <c r="U121" i="42"/>
  <c r="X121" i="42" s="1"/>
  <c r="Y121" i="42" s="1"/>
  <c r="AA121" i="42" s="1"/>
  <c r="AC123" i="42"/>
  <c r="AE123" i="42" s="1"/>
  <c r="AF123" i="42" s="1"/>
  <c r="U123" i="42"/>
  <c r="X123" i="42" s="1"/>
  <c r="Y123" i="42" s="1"/>
  <c r="AA123" i="42" s="1"/>
  <c r="AC125" i="42"/>
  <c r="AE125" i="42" s="1"/>
  <c r="AF125" i="42" s="1"/>
  <c r="U125" i="42"/>
  <c r="X125" i="42" s="1"/>
  <c r="Y125" i="42" s="1"/>
  <c r="AA125" i="42" s="1"/>
  <c r="U234" i="42"/>
  <c r="X234" i="42" s="1"/>
  <c r="Y234" i="42" s="1"/>
  <c r="AA234" i="42" s="1"/>
  <c r="AC234" i="42"/>
  <c r="AE234" i="42" s="1"/>
  <c r="AF234" i="42" s="1"/>
  <c r="U224" i="42"/>
  <c r="X224" i="42" s="1"/>
  <c r="Y224" i="42" s="1"/>
  <c r="AA224" i="42" s="1"/>
  <c r="AC224" i="42"/>
  <c r="AE224" i="42" s="1"/>
  <c r="AF224" i="42" s="1"/>
  <c r="AC260" i="42"/>
  <c r="AE260" i="42" s="1"/>
  <c r="AF260" i="42" s="1"/>
  <c r="U260" i="42"/>
  <c r="X260" i="42" s="1"/>
  <c r="Y260" i="42" s="1"/>
  <c r="AA260" i="42" s="1"/>
  <c r="U293" i="42"/>
  <c r="X293" i="42" s="1"/>
  <c r="Y293" i="42" s="1"/>
  <c r="AA293" i="42" s="1"/>
  <c r="AC293" i="42"/>
  <c r="AE293" i="42" s="1"/>
  <c r="AF293" i="42" s="1"/>
  <c r="U269" i="42"/>
  <c r="X269" i="42" s="1"/>
  <c r="Y269" i="42" s="1"/>
  <c r="AA269" i="42" s="1"/>
  <c r="AC269" i="42"/>
  <c r="AE269" i="42" s="1"/>
  <c r="AF269" i="42" s="1"/>
  <c r="U280" i="42"/>
  <c r="X280" i="42" s="1"/>
  <c r="Y280" i="42" s="1"/>
  <c r="AA280" i="42" s="1"/>
  <c r="AC280" i="42"/>
  <c r="AE280" i="42" s="1"/>
  <c r="AF280" i="42" s="1"/>
  <c r="U283" i="42"/>
  <c r="X283" i="42" s="1"/>
  <c r="Y283" i="42" s="1"/>
  <c r="AA283" i="42" s="1"/>
  <c r="AC283" i="42"/>
  <c r="AE283" i="42" s="1"/>
  <c r="AF283" i="42" s="1"/>
  <c r="U11" i="42"/>
  <c r="X11" i="42" s="1"/>
  <c r="Y11" i="42" s="1"/>
  <c r="AA11" i="42" s="1"/>
  <c r="AC11" i="42"/>
  <c r="AE11" i="42" s="1"/>
  <c r="AF11" i="42" s="1"/>
  <c r="U28" i="42"/>
  <c r="X28" i="42" s="1"/>
  <c r="Y28" i="42" s="1"/>
  <c r="AA28" i="42" s="1"/>
  <c r="AC28" i="42"/>
  <c r="AE28" i="42" s="1"/>
  <c r="AF28" i="42" s="1"/>
  <c r="U16" i="42"/>
  <c r="X16" i="42" s="1"/>
  <c r="Y16" i="42" s="1"/>
  <c r="AA16" i="42" s="1"/>
  <c r="AC16" i="42"/>
  <c r="AE16" i="42" s="1"/>
  <c r="AF16" i="42" s="1"/>
  <c r="U40" i="42"/>
  <c r="X40" i="42" s="1"/>
  <c r="Y40" i="42" s="1"/>
  <c r="AA40" i="42" s="1"/>
  <c r="AC40" i="42"/>
  <c r="AE40" i="42" s="1"/>
  <c r="AF40" i="42" s="1"/>
  <c r="U44" i="42"/>
  <c r="X44" i="42" s="1"/>
  <c r="Y44" i="42" s="1"/>
  <c r="AA44" i="42" s="1"/>
  <c r="AC44" i="42"/>
  <c r="AE44" i="42" s="1"/>
  <c r="AF44" i="42" s="1"/>
  <c r="U52" i="42"/>
  <c r="X52" i="42" s="1"/>
  <c r="Y52" i="42" s="1"/>
  <c r="AA52" i="42" s="1"/>
  <c r="AC52" i="42"/>
  <c r="AE52" i="42" s="1"/>
  <c r="AF52" i="42" s="1"/>
  <c r="AC107" i="42"/>
  <c r="AE107" i="42" s="1"/>
  <c r="AF107" i="42" s="1"/>
  <c r="U107" i="42"/>
  <c r="X107" i="42" s="1"/>
  <c r="Y107" i="42" s="1"/>
  <c r="AA107" i="42" s="1"/>
  <c r="AC114" i="42"/>
  <c r="AE114" i="42" s="1"/>
  <c r="AF114" i="42" s="1"/>
  <c r="U114" i="42"/>
  <c r="X114" i="42" s="1"/>
  <c r="Y114" i="42" s="1"/>
  <c r="AA114" i="42" s="1"/>
  <c r="AC122" i="42"/>
  <c r="AE122" i="42" s="1"/>
  <c r="AF122" i="42" s="1"/>
  <c r="U122" i="42"/>
  <c r="X122" i="42" s="1"/>
  <c r="Y122" i="42" s="1"/>
  <c r="AA122" i="42" s="1"/>
  <c r="AC256" i="42"/>
  <c r="AE256" i="42" s="1"/>
  <c r="AF256" i="42" s="1"/>
  <c r="U256" i="42"/>
  <c r="X256" i="42" s="1"/>
  <c r="Y256" i="42" s="1"/>
  <c r="AA256" i="42" s="1"/>
  <c r="U285" i="42"/>
  <c r="X285" i="42" s="1"/>
  <c r="Y285" i="42" s="1"/>
  <c r="AA285" i="42" s="1"/>
  <c r="AC285" i="42"/>
  <c r="AE285" i="42" s="1"/>
  <c r="AF285" i="42" s="1"/>
  <c r="U288" i="42"/>
  <c r="X288" i="42" s="1"/>
  <c r="Y288" i="42" s="1"/>
  <c r="AA288" i="42" s="1"/>
  <c r="AC288" i="42"/>
  <c r="AE288" i="42" s="1"/>
  <c r="AF288" i="42" s="1"/>
  <c r="U264" i="42"/>
  <c r="X264" i="42" s="1"/>
  <c r="Y264" i="42" s="1"/>
  <c r="AA264" i="42" s="1"/>
  <c r="AC264" i="42"/>
  <c r="AE264" i="42" s="1"/>
  <c r="AF264" i="42" s="1"/>
  <c r="U268" i="42"/>
  <c r="X268" i="42" s="1"/>
  <c r="Y268" i="42" s="1"/>
  <c r="AA268" i="42" s="1"/>
  <c r="AC268" i="42"/>
  <c r="AE268" i="42" s="1"/>
  <c r="AF268" i="42" s="1"/>
  <c r="U272" i="42"/>
  <c r="X272" i="42" s="1"/>
  <c r="Y272" i="42" s="1"/>
  <c r="AA272" i="42" s="1"/>
  <c r="AC272" i="42"/>
  <c r="AE272" i="42" s="1"/>
  <c r="AF272" i="42" s="1"/>
  <c r="U276" i="42"/>
  <c r="X276" i="42" s="1"/>
  <c r="Y276" i="42" s="1"/>
  <c r="AA276" i="42" s="1"/>
  <c r="AC276" i="42"/>
  <c r="AE276" i="42" s="1"/>
  <c r="AF276" i="42" s="1"/>
  <c r="U59" i="42"/>
  <c r="X59" i="42" s="1"/>
  <c r="Y59" i="42" s="1"/>
  <c r="AA59" i="42" s="1"/>
  <c r="AC59" i="42"/>
  <c r="AE59" i="42" s="1"/>
  <c r="AF59" i="42" s="1"/>
  <c r="U88" i="42"/>
  <c r="X88" i="42" s="1"/>
  <c r="Y88" i="42" s="1"/>
  <c r="AA88" i="42" s="1"/>
  <c r="AC88" i="42"/>
  <c r="AE88" i="42" s="1"/>
  <c r="AF88" i="42" s="1"/>
  <c r="U54" i="42"/>
  <c r="X54" i="42" s="1"/>
  <c r="Y54" i="42" s="1"/>
  <c r="AA54" i="42" s="1"/>
  <c r="AC54" i="42"/>
  <c r="AE54" i="42" s="1"/>
  <c r="AF54" i="42" s="1"/>
  <c r="U93" i="42"/>
  <c r="X93" i="42" s="1"/>
  <c r="Y93" i="42" s="1"/>
  <c r="AA93" i="42" s="1"/>
  <c r="AC93" i="42"/>
  <c r="AE93" i="42" s="1"/>
  <c r="AF93" i="42" s="1"/>
  <c r="U109" i="42"/>
  <c r="X109" i="42" s="1"/>
  <c r="Y109" i="42" s="1"/>
  <c r="AA109" i="42" s="1"/>
  <c r="AC109" i="42"/>
  <c r="AE109" i="42" s="1"/>
  <c r="AF109" i="42" s="1"/>
  <c r="U151" i="42"/>
  <c r="X151" i="42" s="1"/>
  <c r="Y151" i="42" s="1"/>
  <c r="AA151" i="42" s="1"/>
  <c r="AC151" i="42"/>
  <c r="AE151" i="42" s="1"/>
  <c r="AF151" i="42" s="1"/>
  <c r="U155" i="42"/>
  <c r="X155" i="42" s="1"/>
  <c r="Y155" i="42" s="1"/>
  <c r="AA155" i="42" s="1"/>
  <c r="AC155" i="42"/>
  <c r="AE155" i="42" s="1"/>
  <c r="AF155" i="42" s="1"/>
  <c r="U159" i="42"/>
  <c r="X159" i="42" s="1"/>
  <c r="Y159" i="42" s="1"/>
  <c r="AA159" i="42" s="1"/>
  <c r="AC159" i="42"/>
  <c r="AE159" i="42" s="1"/>
  <c r="AF159" i="42" s="1"/>
  <c r="U163" i="42"/>
  <c r="X163" i="42" s="1"/>
  <c r="Y163" i="42" s="1"/>
  <c r="AA163" i="42" s="1"/>
  <c r="AC163" i="42"/>
  <c r="AE163" i="42" s="1"/>
  <c r="AF163" i="42" s="1"/>
  <c r="U167" i="42"/>
  <c r="X167" i="42" s="1"/>
  <c r="Y167" i="42" s="1"/>
  <c r="AA167" i="42" s="1"/>
  <c r="AC167" i="42"/>
  <c r="AE167" i="42" s="1"/>
  <c r="AF167" i="42" s="1"/>
  <c r="U171" i="42"/>
  <c r="X171" i="42" s="1"/>
  <c r="Y171" i="42" s="1"/>
  <c r="AA171" i="42" s="1"/>
  <c r="AC171" i="42"/>
  <c r="AE171" i="42" s="1"/>
  <c r="AF171" i="42" s="1"/>
  <c r="U175" i="42"/>
  <c r="X175" i="42" s="1"/>
  <c r="Y175" i="42" s="1"/>
  <c r="AA175" i="42" s="1"/>
  <c r="AC175" i="42"/>
  <c r="AE175" i="42" s="1"/>
  <c r="AF175" i="42" s="1"/>
  <c r="U179" i="42"/>
  <c r="X179" i="42" s="1"/>
  <c r="Y179" i="42" s="1"/>
  <c r="AA179" i="42" s="1"/>
  <c r="AC179" i="42"/>
  <c r="AE179" i="42" s="1"/>
  <c r="AF179" i="42" s="1"/>
  <c r="U183" i="42"/>
  <c r="X183" i="42" s="1"/>
  <c r="Y183" i="42" s="1"/>
  <c r="AA183" i="42" s="1"/>
  <c r="AC183" i="42"/>
  <c r="AE183" i="42" s="1"/>
  <c r="AF183" i="42" s="1"/>
  <c r="U187" i="42"/>
  <c r="X187" i="42" s="1"/>
  <c r="Y187" i="42" s="1"/>
  <c r="AA187" i="42" s="1"/>
  <c r="AC187" i="42"/>
  <c r="AE187" i="42" s="1"/>
  <c r="AF187" i="42" s="1"/>
  <c r="U191" i="42"/>
  <c r="X191" i="42" s="1"/>
  <c r="Y191" i="42" s="1"/>
  <c r="AA191" i="42" s="1"/>
  <c r="AC191" i="42"/>
  <c r="AE191" i="42" s="1"/>
  <c r="AF191" i="42" s="1"/>
  <c r="U195" i="42"/>
  <c r="X195" i="42" s="1"/>
  <c r="Y195" i="42" s="1"/>
  <c r="AA195" i="42" s="1"/>
  <c r="AC195" i="42"/>
  <c r="AE195" i="42" s="1"/>
  <c r="AF195" i="42" s="1"/>
  <c r="U199" i="42"/>
  <c r="X199" i="42" s="1"/>
  <c r="Y199" i="42" s="1"/>
  <c r="AA199" i="42" s="1"/>
  <c r="AC199" i="42"/>
  <c r="AE199" i="42" s="1"/>
  <c r="AF199" i="42" s="1"/>
  <c r="U203" i="42"/>
  <c r="X203" i="42" s="1"/>
  <c r="Y203" i="42" s="1"/>
  <c r="AA203" i="42" s="1"/>
  <c r="AC203" i="42"/>
  <c r="AE203" i="42" s="1"/>
  <c r="AF203" i="42" s="1"/>
  <c r="U218" i="42"/>
  <c r="X218" i="42" s="1"/>
  <c r="Y218" i="42" s="1"/>
  <c r="AA218" i="42" s="1"/>
  <c r="AC218" i="42"/>
  <c r="AE218" i="42" s="1"/>
  <c r="AF218" i="42" s="1"/>
  <c r="U223" i="42"/>
  <c r="X223" i="42" s="1"/>
  <c r="Y223" i="42" s="1"/>
  <c r="AA223" i="42" s="1"/>
  <c r="AC223" i="42"/>
  <c r="AE223" i="42" s="1"/>
  <c r="AF223" i="42" s="1"/>
  <c r="U231" i="42"/>
  <c r="X231" i="42" s="1"/>
  <c r="Y231" i="42" s="1"/>
  <c r="AA231" i="42" s="1"/>
  <c r="AC231" i="42"/>
  <c r="AE231" i="42" s="1"/>
  <c r="AF231" i="42" s="1"/>
  <c r="U143" i="42"/>
  <c r="X143" i="42" s="1"/>
  <c r="Y143" i="42" s="1"/>
  <c r="AA143" i="42" s="1"/>
  <c r="AC143" i="42"/>
  <c r="AE143" i="42" s="1"/>
  <c r="AF143" i="42" s="1"/>
  <c r="U142" i="42"/>
  <c r="X142" i="42" s="1"/>
  <c r="Y142" i="42" s="1"/>
  <c r="AA142" i="42" s="1"/>
  <c r="AC142" i="42"/>
  <c r="AE142" i="42" s="1"/>
  <c r="AF142" i="42" s="1"/>
  <c r="U91" i="42"/>
  <c r="X91" i="42" s="1"/>
  <c r="Y91" i="42" s="1"/>
  <c r="AA91" i="42" s="1"/>
  <c r="AC91" i="42"/>
  <c r="AE91" i="42" s="1"/>
  <c r="AF91" i="42" s="1"/>
  <c r="U95" i="42"/>
  <c r="X95" i="42" s="1"/>
  <c r="Y95" i="42" s="1"/>
  <c r="AA95" i="42" s="1"/>
  <c r="AC95" i="42"/>
  <c r="AE95" i="42" s="1"/>
  <c r="AF95" i="42" s="1"/>
  <c r="U152" i="42"/>
  <c r="X152" i="42" s="1"/>
  <c r="Y152" i="42" s="1"/>
  <c r="AA152" i="42" s="1"/>
  <c r="AC152" i="42"/>
  <c r="AE152" i="42" s="1"/>
  <c r="AF152" i="42" s="1"/>
  <c r="U156" i="42"/>
  <c r="X156" i="42" s="1"/>
  <c r="Y156" i="42" s="1"/>
  <c r="AA156" i="42" s="1"/>
  <c r="AC156" i="42"/>
  <c r="AE156" i="42" s="1"/>
  <c r="AF156" i="42" s="1"/>
  <c r="U160" i="42"/>
  <c r="X160" i="42" s="1"/>
  <c r="Y160" i="42" s="1"/>
  <c r="AA160" i="42" s="1"/>
  <c r="AC160" i="42"/>
  <c r="AE160" i="42" s="1"/>
  <c r="AF160" i="42" s="1"/>
  <c r="U164" i="42"/>
  <c r="X164" i="42" s="1"/>
  <c r="Y164" i="42" s="1"/>
  <c r="AA164" i="42" s="1"/>
  <c r="AC164" i="42"/>
  <c r="AE164" i="42" s="1"/>
  <c r="AF164" i="42" s="1"/>
  <c r="U168" i="42"/>
  <c r="X168" i="42" s="1"/>
  <c r="Y168" i="42" s="1"/>
  <c r="AA168" i="42" s="1"/>
  <c r="AC168" i="42"/>
  <c r="AE168" i="42" s="1"/>
  <c r="AF168" i="42" s="1"/>
  <c r="U172" i="42"/>
  <c r="X172" i="42" s="1"/>
  <c r="Y172" i="42" s="1"/>
  <c r="AA172" i="42" s="1"/>
  <c r="AC172" i="42"/>
  <c r="AE172" i="42" s="1"/>
  <c r="AF172" i="42" s="1"/>
  <c r="U176" i="42"/>
  <c r="X176" i="42" s="1"/>
  <c r="Y176" i="42" s="1"/>
  <c r="AA176" i="42" s="1"/>
  <c r="AC176" i="42"/>
  <c r="AE176" i="42" s="1"/>
  <c r="AF176" i="42" s="1"/>
  <c r="U180" i="42"/>
  <c r="X180" i="42" s="1"/>
  <c r="Y180" i="42" s="1"/>
  <c r="AA180" i="42" s="1"/>
  <c r="AC180" i="42"/>
  <c r="AE180" i="42" s="1"/>
  <c r="AF180" i="42" s="1"/>
  <c r="U184" i="42"/>
  <c r="X184" i="42" s="1"/>
  <c r="Y184" i="42" s="1"/>
  <c r="AA184" i="42" s="1"/>
  <c r="AC184" i="42"/>
  <c r="AE184" i="42" s="1"/>
  <c r="AF184" i="42" s="1"/>
  <c r="U188" i="42"/>
  <c r="X188" i="42" s="1"/>
  <c r="Y188" i="42" s="1"/>
  <c r="AA188" i="42" s="1"/>
  <c r="AC188" i="42"/>
  <c r="AE188" i="42" s="1"/>
  <c r="AF188" i="42" s="1"/>
  <c r="U192" i="42"/>
  <c r="X192" i="42" s="1"/>
  <c r="Y192" i="42" s="1"/>
  <c r="AA192" i="42" s="1"/>
  <c r="AC192" i="42"/>
  <c r="AE192" i="42" s="1"/>
  <c r="AF192" i="42" s="1"/>
  <c r="U196" i="42"/>
  <c r="X196" i="42" s="1"/>
  <c r="Y196" i="42" s="1"/>
  <c r="AA196" i="42" s="1"/>
  <c r="AC196" i="42"/>
  <c r="AE196" i="42" s="1"/>
  <c r="AF196" i="42" s="1"/>
  <c r="U200" i="42"/>
  <c r="X200" i="42" s="1"/>
  <c r="Y200" i="42" s="1"/>
  <c r="AA200" i="42" s="1"/>
  <c r="AC200" i="42"/>
  <c r="AE200" i="42" s="1"/>
  <c r="AF200" i="42" s="1"/>
  <c r="U204" i="42"/>
  <c r="X204" i="42" s="1"/>
  <c r="Y204" i="42" s="1"/>
  <c r="AA204" i="42" s="1"/>
  <c r="AC204" i="42"/>
  <c r="AE204" i="42" s="1"/>
  <c r="AF204" i="42" s="1"/>
  <c r="U141" i="42"/>
  <c r="X141" i="42" s="1"/>
  <c r="Y141" i="42" s="1"/>
  <c r="AA141" i="42" s="1"/>
  <c r="AC141" i="42"/>
  <c r="AE141" i="42" s="1"/>
  <c r="AF141" i="42" s="1"/>
  <c r="U149" i="42"/>
  <c r="X149" i="42" s="1"/>
  <c r="Y149" i="42" s="1"/>
  <c r="AA149" i="42" s="1"/>
  <c r="AC149" i="42"/>
  <c r="AE149" i="42" s="1"/>
  <c r="AF149" i="42" s="1"/>
  <c r="U210" i="42"/>
  <c r="X210" i="42" s="1"/>
  <c r="Y210" i="42" s="1"/>
  <c r="AA210" i="42" s="1"/>
  <c r="AC210" i="42"/>
  <c r="AE210" i="42" s="1"/>
  <c r="AF210" i="42" s="1"/>
  <c r="U217" i="42"/>
  <c r="X217" i="42" s="1"/>
  <c r="Y217" i="42" s="1"/>
  <c r="AA217" i="42" s="1"/>
  <c r="AC217" i="42"/>
  <c r="AE217" i="42" s="1"/>
  <c r="AF217" i="42" s="1"/>
  <c r="U225" i="42"/>
  <c r="X225" i="42" s="1"/>
  <c r="Y225" i="42" s="1"/>
  <c r="AA225" i="42" s="1"/>
  <c r="AC225" i="42"/>
  <c r="AE225" i="42" s="1"/>
  <c r="AF225" i="42" s="1"/>
  <c r="U233" i="42"/>
  <c r="X233" i="42" s="1"/>
  <c r="Y233" i="42" s="1"/>
  <c r="AA233" i="42" s="1"/>
  <c r="AC233" i="42"/>
  <c r="AE233" i="42" s="1"/>
  <c r="AF233" i="42" s="1"/>
  <c r="U83" i="42"/>
  <c r="X83" i="42" s="1"/>
  <c r="Y83" i="42" s="1"/>
  <c r="AA83" i="42" s="1"/>
  <c r="AC83" i="42"/>
  <c r="AE83" i="42" s="1"/>
  <c r="AF83" i="42" s="1"/>
  <c r="U212" i="42"/>
  <c r="X212" i="42" s="1"/>
  <c r="Y212" i="42" s="1"/>
  <c r="AA212" i="42" s="1"/>
  <c r="AC212" i="42"/>
  <c r="AE212" i="42" s="1"/>
  <c r="AF212" i="42" s="1"/>
  <c r="U226" i="42"/>
  <c r="X226" i="42" s="1"/>
  <c r="Y226" i="42" s="1"/>
  <c r="AA226" i="42" s="1"/>
  <c r="AC226" i="42"/>
  <c r="AE226" i="42" s="1"/>
  <c r="AF226" i="42" s="1"/>
  <c r="U211" i="42"/>
  <c r="X211" i="42" s="1"/>
  <c r="Y211" i="42" s="1"/>
  <c r="AA211" i="42" s="1"/>
  <c r="AC211" i="42"/>
  <c r="AE211" i="42" s="1"/>
  <c r="AF211" i="42" s="1"/>
  <c r="U215" i="42"/>
  <c r="X215" i="42" s="1"/>
  <c r="Y215" i="42" s="1"/>
  <c r="AA215" i="42" s="1"/>
  <c r="AC215" i="42"/>
  <c r="AE215" i="42" s="1"/>
  <c r="AF215" i="42" s="1"/>
  <c r="U150" i="42"/>
  <c r="X150" i="42" s="1"/>
  <c r="Y150" i="42" s="1"/>
  <c r="AA150" i="42" s="1"/>
  <c r="AC150" i="42"/>
  <c r="AE150" i="42" s="1"/>
  <c r="AF150" i="42" s="1"/>
  <c r="U230" i="42"/>
  <c r="X230" i="42" s="1"/>
  <c r="Y230" i="42" s="1"/>
  <c r="AA230" i="42" s="1"/>
  <c r="AC230" i="42"/>
  <c r="AE230" i="42" s="1"/>
  <c r="AF230" i="42" s="1"/>
  <c r="U291" i="42"/>
  <c r="X291" i="42" s="1"/>
  <c r="Y291" i="42" s="1"/>
  <c r="AA291" i="42" s="1"/>
  <c r="AC291" i="42"/>
  <c r="AE291" i="42" s="1"/>
  <c r="AF291" i="42" s="1"/>
  <c r="U220" i="42"/>
  <c r="X220" i="42" s="1"/>
  <c r="Y220" i="42" s="1"/>
  <c r="AA220" i="42" s="1"/>
  <c r="AC220" i="42"/>
  <c r="AE220" i="42" s="1"/>
  <c r="AF220" i="42" s="1"/>
  <c r="U265" i="42"/>
  <c r="X265" i="42" s="1"/>
  <c r="Y265" i="42" s="1"/>
  <c r="AA265" i="42" s="1"/>
  <c r="AC265" i="42"/>
  <c r="AE265" i="42" s="1"/>
  <c r="AF265" i="42" s="1"/>
  <c r="U271" i="42"/>
  <c r="X271" i="42" s="1"/>
  <c r="Y271" i="42" s="1"/>
  <c r="AA271" i="42" s="1"/>
  <c r="AC271" i="42"/>
  <c r="AE271" i="42" s="1"/>
  <c r="AF271" i="42" s="1"/>
  <c r="AE70" i="42"/>
  <c r="AF70" i="42" s="1"/>
  <c r="AE82" i="42"/>
  <c r="AF82" i="42" s="1"/>
  <c r="U66" i="42"/>
  <c r="X66" i="42" s="1"/>
  <c r="Y66" i="42" s="1"/>
  <c r="AA66" i="42" s="1"/>
  <c r="AC66" i="42"/>
  <c r="AE66" i="42" s="1"/>
  <c r="AF66" i="42" s="1"/>
  <c r="U96" i="42"/>
  <c r="X96" i="42" s="1"/>
  <c r="Y96" i="42" s="1"/>
  <c r="AA96" i="42" s="1"/>
  <c r="AC96" i="42"/>
  <c r="AE96" i="42" s="1"/>
  <c r="AF96" i="42" s="1"/>
  <c r="U85" i="42"/>
  <c r="X85" i="42" s="1"/>
  <c r="Y85" i="42" s="1"/>
  <c r="AA85" i="42" s="1"/>
  <c r="AC85" i="42"/>
  <c r="AE85" i="42" s="1"/>
  <c r="AF85" i="42" s="1"/>
  <c r="U111" i="42"/>
  <c r="X111" i="42" s="1"/>
  <c r="Y111" i="42" s="1"/>
  <c r="AA111" i="42" s="1"/>
  <c r="AC111" i="42"/>
  <c r="AE111" i="42" s="1"/>
  <c r="AF111" i="42" s="1"/>
  <c r="U87" i="42"/>
  <c r="X87" i="42" s="1"/>
  <c r="Y87" i="42" s="1"/>
  <c r="AA87" i="42" s="1"/>
  <c r="AC87" i="42"/>
  <c r="AE87" i="42" s="1"/>
  <c r="AF87" i="42" s="1"/>
  <c r="U101" i="42"/>
  <c r="X101" i="42" s="1"/>
  <c r="Y101" i="42" s="1"/>
  <c r="AA101" i="42" s="1"/>
  <c r="AC101" i="42"/>
  <c r="AE101" i="42" s="1"/>
  <c r="AF101" i="42" s="1"/>
  <c r="U153" i="42"/>
  <c r="X153" i="42" s="1"/>
  <c r="Y153" i="42" s="1"/>
  <c r="AA153" i="42" s="1"/>
  <c r="AC153" i="42"/>
  <c r="AE153" i="42" s="1"/>
  <c r="AF153" i="42" s="1"/>
  <c r="U157" i="42"/>
  <c r="X157" i="42" s="1"/>
  <c r="Y157" i="42" s="1"/>
  <c r="AA157" i="42" s="1"/>
  <c r="AC157" i="42"/>
  <c r="AE157" i="42" s="1"/>
  <c r="AF157" i="42" s="1"/>
  <c r="U161" i="42"/>
  <c r="X161" i="42" s="1"/>
  <c r="Y161" i="42" s="1"/>
  <c r="AA161" i="42" s="1"/>
  <c r="AC161" i="42"/>
  <c r="AE161" i="42" s="1"/>
  <c r="AF161" i="42" s="1"/>
  <c r="U165" i="42"/>
  <c r="X165" i="42" s="1"/>
  <c r="Y165" i="42" s="1"/>
  <c r="AA165" i="42" s="1"/>
  <c r="AC165" i="42"/>
  <c r="AE165" i="42" s="1"/>
  <c r="AF165" i="42" s="1"/>
  <c r="U169" i="42"/>
  <c r="X169" i="42" s="1"/>
  <c r="Y169" i="42" s="1"/>
  <c r="AA169" i="42" s="1"/>
  <c r="AC169" i="42"/>
  <c r="AE169" i="42" s="1"/>
  <c r="AF169" i="42" s="1"/>
  <c r="U173" i="42"/>
  <c r="X173" i="42" s="1"/>
  <c r="Y173" i="42" s="1"/>
  <c r="AA173" i="42" s="1"/>
  <c r="AC173" i="42"/>
  <c r="AE173" i="42" s="1"/>
  <c r="AF173" i="42" s="1"/>
  <c r="U177" i="42"/>
  <c r="X177" i="42" s="1"/>
  <c r="Y177" i="42" s="1"/>
  <c r="AA177" i="42" s="1"/>
  <c r="AC177" i="42"/>
  <c r="AE177" i="42" s="1"/>
  <c r="AF177" i="42" s="1"/>
  <c r="U181" i="42"/>
  <c r="X181" i="42" s="1"/>
  <c r="Y181" i="42" s="1"/>
  <c r="AA181" i="42" s="1"/>
  <c r="AC181" i="42"/>
  <c r="AE181" i="42" s="1"/>
  <c r="AF181" i="42" s="1"/>
  <c r="U185" i="42"/>
  <c r="X185" i="42" s="1"/>
  <c r="Y185" i="42" s="1"/>
  <c r="AA185" i="42" s="1"/>
  <c r="AC185" i="42"/>
  <c r="AE185" i="42" s="1"/>
  <c r="AF185" i="42" s="1"/>
  <c r="U189" i="42"/>
  <c r="X189" i="42" s="1"/>
  <c r="Y189" i="42" s="1"/>
  <c r="AA189" i="42" s="1"/>
  <c r="AC189" i="42"/>
  <c r="AE189" i="42" s="1"/>
  <c r="AF189" i="42" s="1"/>
  <c r="U193" i="42"/>
  <c r="X193" i="42" s="1"/>
  <c r="Y193" i="42" s="1"/>
  <c r="AA193" i="42" s="1"/>
  <c r="AC193" i="42"/>
  <c r="AE193" i="42" s="1"/>
  <c r="AF193" i="42" s="1"/>
  <c r="U197" i="42"/>
  <c r="X197" i="42" s="1"/>
  <c r="Y197" i="42" s="1"/>
  <c r="AA197" i="42" s="1"/>
  <c r="AC197" i="42"/>
  <c r="AE197" i="42" s="1"/>
  <c r="AF197" i="42" s="1"/>
  <c r="U201" i="42"/>
  <c r="X201" i="42" s="1"/>
  <c r="Y201" i="42" s="1"/>
  <c r="AA201" i="42" s="1"/>
  <c r="AC201" i="42"/>
  <c r="AE201" i="42" s="1"/>
  <c r="AF201" i="42" s="1"/>
  <c r="U205" i="42"/>
  <c r="X205" i="42" s="1"/>
  <c r="Y205" i="42" s="1"/>
  <c r="AA205" i="42" s="1"/>
  <c r="AC205" i="42"/>
  <c r="AE205" i="42" s="1"/>
  <c r="AF205" i="42" s="1"/>
  <c r="U148" i="42"/>
  <c r="X148" i="42" s="1"/>
  <c r="Y148" i="42" s="1"/>
  <c r="AA148" i="42" s="1"/>
  <c r="AC148" i="42"/>
  <c r="AE148" i="42" s="1"/>
  <c r="AF148" i="42" s="1"/>
  <c r="U219" i="42"/>
  <c r="X219" i="42" s="1"/>
  <c r="Y219" i="42" s="1"/>
  <c r="AA219" i="42" s="1"/>
  <c r="AC219" i="42"/>
  <c r="AE219" i="42" s="1"/>
  <c r="AF219" i="42" s="1"/>
  <c r="U227" i="42"/>
  <c r="X227" i="42" s="1"/>
  <c r="Y227" i="42" s="1"/>
  <c r="AA227" i="42" s="1"/>
  <c r="AC227" i="42"/>
  <c r="AE227" i="42" s="1"/>
  <c r="AF227" i="42" s="1"/>
  <c r="AC235" i="42"/>
  <c r="AE235" i="42" s="1"/>
  <c r="AF235" i="42" s="1"/>
  <c r="U235" i="42"/>
  <c r="X235" i="42" s="1"/>
  <c r="Y235" i="42" s="1"/>
  <c r="AA235" i="42" s="1"/>
  <c r="U147" i="42"/>
  <c r="X147" i="42" s="1"/>
  <c r="Y147" i="42" s="1"/>
  <c r="AA147" i="42" s="1"/>
  <c r="AC147" i="42"/>
  <c r="AE147" i="42" s="1"/>
  <c r="AF147" i="42" s="1"/>
  <c r="U138" i="42"/>
  <c r="X138" i="42" s="1"/>
  <c r="Y138" i="42" s="1"/>
  <c r="AA138" i="42" s="1"/>
  <c r="AC138" i="42"/>
  <c r="AE138" i="42" s="1"/>
  <c r="AF138" i="42" s="1"/>
  <c r="U140" i="42"/>
  <c r="X140" i="42" s="1"/>
  <c r="Y140" i="42" s="1"/>
  <c r="AA140" i="42" s="1"/>
  <c r="AC140" i="42"/>
  <c r="AE140" i="42" s="1"/>
  <c r="AF140" i="42" s="1"/>
  <c r="AC127" i="42"/>
  <c r="AE127" i="42" s="1"/>
  <c r="AF127" i="42" s="1"/>
  <c r="U127" i="42"/>
  <c r="X127" i="42" s="1"/>
  <c r="Y127" i="42" s="1"/>
  <c r="AA127" i="42" s="1"/>
  <c r="AC129" i="42"/>
  <c r="AE129" i="42" s="1"/>
  <c r="AF129" i="42" s="1"/>
  <c r="U129" i="42"/>
  <c r="X129" i="42" s="1"/>
  <c r="Y129" i="42" s="1"/>
  <c r="AA129" i="42" s="1"/>
  <c r="AC131" i="42"/>
  <c r="AE131" i="42" s="1"/>
  <c r="AF131" i="42" s="1"/>
  <c r="U131" i="42"/>
  <c r="X131" i="42" s="1"/>
  <c r="Y131" i="42" s="1"/>
  <c r="AA131" i="42" s="1"/>
  <c r="AC133" i="42"/>
  <c r="AE133" i="42" s="1"/>
  <c r="AF133" i="42" s="1"/>
  <c r="U133" i="42"/>
  <c r="X133" i="42" s="1"/>
  <c r="Y133" i="42" s="1"/>
  <c r="AA133" i="42" s="1"/>
  <c r="AC135" i="42"/>
  <c r="AE135" i="42" s="1"/>
  <c r="AF135" i="42" s="1"/>
  <c r="U135" i="42"/>
  <c r="X135" i="42" s="1"/>
  <c r="Y135" i="42" s="1"/>
  <c r="AA135" i="42" s="1"/>
  <c r="AC137" i="42"/>
  <c r="AE137" i="42" s="1"/>
  <c r="AF137" i="42" s="1"/>
  <c r="U137" i="42"/>
  <c r="X137" i="42" s="1"/>
  <c r="Y137" i="42" s="1"/>
  <c r="AA137" i="42" s="1"/>
  <c r="AC139" i="42"/>
  <c r="AE139" i="42" s="1"/>
  <c r="AF139" i="42" s="1"/>
  <c r="U139" i="42"/>
  <c r="X139" i="42" s="1"/>
  <c r="Y139" i="42" s="1"/>
  <c r="AA139" i="42" s="1"/>
  <c r="U154" i="42"/>
  <c r="X154" i="42" s="1"/>
  <c r="Y154" i="42" s="1"/>
  <c r="AA154" i="42" s="1"/>
  <c r="AC154" i="42"/>
  <c r="AE154" i="42" s="1"/>
  <c r="AF154" i="42" s="1"/>
  <c r="U158" i="42"/>
  <c r="X158" i="42" s="1"/>
  <c r="Y158" i="42" s="1"/>
  <c r="AA158" i="42" s="1"/>
  <c r="AC158" i="42"/>
  <c r="AE158" i="42" s="1"/>
  <c r="AF158" i="42" s="1"/>
  <c r="U162" i="42"/>
  <c r="X162" i="42" s="1"/>
  <c r="Y162" i="42" s="1"/>
  <c r="AA162" i="42" s="1"/>
  <c r="AC162" i="42"/>
  <c r="AE162" i="42" s="1"/>
  <c r="AF162" i="42" s="1"/>
  <c r="U166" i="42"/>
  <c r="X166" i="42" s="1"/>
  <c r="Y166" i="42" s="1"/>
  <c r="AA166" i="42" s="1"/>
  <c r="AC166" i="42"/>
  <c r="AE166" i="42" s="1"/>
  <c r="AF166" i="42" s="1"/>
  <c r="U170" i="42"/>
  <c r="X170" i="42" s="1"/>
  <c r="Y170" i="42" s="1"/>
  <c r="AA170" i="42" s="1"/>
  <c r="AC170" i="42"/>
  <c r="AE170" i="42" s="1"/>
  <c r="AF170" i="42" s="1"/>
  <c r="U174" i="42"/>
  <c r="X174" i="42" s="1"/>
  <c r="Y174" i="42" s="1"/>
  <c r="AA174" i="42" s="1"/>
  <c r="AC174" i="42"/>
  <c r="AE174" i="42" s="1"/>
  <c r="AF174" i="42" s="1"/>
  <c r="U178" i="42"/>
  <c r="X178" i="42" s="1"/>
  <c r="Y178" i="42" s="1"/>
  <c r="AA178" i="42" s="1"/>
  <c r="AC178" i="42"/>
  <c r="AE178" i="42" s="1"/>
  <c r="AF178" i="42" s="1"/>
  <c r="U182" i="42"/>
  <c r="X182" i="42" s="1"/>
  <c r="Y182" i="42" s="1"/>
  <c r="AA182" i="42" s="1"/>
  <c r="AC182" i="42"/>
  <c r="AE182" i="42" s="1"/>
  <c r="AF182" i="42" s="1"/>
  <c r="U186" i="42"/>
  <c r="X186" i="42" s="1"/>
  <c r="Y186" i="42" s="1"/>
  <c r="AA186" i="42" s="1"/>
  <c r="AC186" i="42"/>
  <c r="AE186" i="42" s="1"/>
  <c r="AF186" i="42" s="1"/>
  <c r="U190" i="42"/>
  <c r="X190" i="42" s="1"/>
  <c r="Y190" i="42" s="1"/>
  <c r="AA190" i="42" s="1"/>
  <c r="AC190" i="42"/>
  <c r="AE190" i="42" s="1"/>
  <c r="AF190" i="42" s="1"/>
  <c r="U194" i="42"/>
  <c r="X194" i="42" s="1"/>
  <c r="Y194" i="42" s="1"/>
  <c r="AA194" i="42" s="1"/>
  <c r="AC194" i="42"/>
  <c r="AE194" i="42" s="1"/>
  <c r="AF194" i="42" s="1"/>
  <c r="U198" i="42"/>
  <c r="X198" i="42" s="1"/>
  <c r="Y198" i="42" s="1"/>
  <c r="AA198" i="42" s="1"/>
  <c r="AC198" i="42"/>
  <c r="AE198" i="42" s="1"/>
  <c r="AF198" i="42" s="1"/>
  <c r="U202" i="42"/>
  <c r="X202" i="42" s="1"/>
  <c r="Y202" i="42" s="1"/>
  <c r="AA202" i="42" s="1"/>
  <c r="AC202" i="42"/>
  <c r="AE202" i="42" s="1"/>
  <c r="AF202" i="42" s="1"/>
  <c r="U206" i="42"/>
  <c r="X206" i="42" s="1"/>
  <c r="Y206" i="42" s="1"/>
  <c r="AA206" i="42" s="1"/>
  <c r="AC206" i="42"/>
  <c r="AE206" i="42" s="1"/>
  <c r="AF206" i="42" s="1"/>
  <c r="U145" i="42"/>
  <c r="X145" i="42" s="1"/>
  <c r="Y145" i="42" s="1"/>
  <c r="AA145" i="42" s="1"/>
  <c r="AC145" i="42"/>
  <c r="AE145" i="42" s="1"/>
  <c r="AF145" i="42" s="1"/>
  <c r="U214" i="42"/>
  <c r="X214" i="42" s="1"/>
  <c r="Y214" i="42" s="1"/>
  <c r="AA214" i="42" s="1"/>
  <c r="AC214" i="42"/>
  <c r="AE214" i="42" s="1"/>
  <c r="AF214" i="42" s="1"/>
  <c r="U144" i="42"/>
  <c r="X144" i="42" s="1"/>
  <c r="Y144" i="42" s="1"/>
  <c r="AA144" i="42" s="1"/>
  <c r="AC144" i="42"/>
  <c r="AE144" i="42" s="1"/>
  <c r="AF144" i="42" s="1"/>
  <c r="U213" i="42"/>
  <c r="X213" i="42" s="1"/>
  <c r="Y213" i="42" s="1"/>
  <c r="AA213" i="42" s="1"/>
  <c r="AC213" i="42"/>
  <c r="AE213" i="42" s="1"/>
  <c r="AF213" i="42" s="1"/>
  <c r="AC221" i="42"/>
  <c r="AE221" i="42" s="1"/>
  <c r="AF221" i="42" s="1"/>
  <c r="U221" i="42"/>
  <c r="X221" i="42" s="1"/>
  <c r="Y221" i="42" s="1"/>
  <c r="AA221" i="42" s="1"/>
  <c r="AC229" i="42"/>
  <c r="AE229" i="42" s="1"/>
  <c r="AF229" i="42" s="1"/>
  <c r="U229" i="42"/>
  <c r="X229" i="42" s="1"/>
  <c r="Y229" i="42" s="1"/>
  <c r="AA229" i="42" s="1"/>
  <c r="U209" i="42"/>
  <c r="X209" i="42" s="1"/>
  <c r="Y209" i="42" s="1"/>
  <c r="AA209" i="42" s="1"/>
  <c r="AC209" i="42"/>
  <c r="AE209" i="42" s="1"/>
  <c r="AF209" i="42" s="1"/>
  <c r="U216" i="42"/>
  <c r="X216" i="42" s="1"/>
  <c r="Y216" i="42" s="1"/>
  <c r="AA216" i="42" s="1"/>
  <c r="AC216" i="42"/>
  <c r="AE216" i="42" s="1"/>
  <c r="AF216" i="42" s="1"/>
  <c r="U232" i="42"/>
  <c r="X232" i="42" s="1"/>
  <c r="Y232" i="42" s="1"/>
  <c r="AA232" i="42" s="1"/>
  <c r="AC232" i="42"/>
  <c r="AE232" i="42" s="1"/>
  <c r="AF232" i="42" s="1"/>
  <c r="AC258" i="42"/>
  <c r="AE258" i="42" s="1"/>
  <c r="AF258" i="42" s="1"/>
  <c r="U258" i="42"/>
  <c r="X258" i="42" s="1"/>
  <c r="Y258" i="42" s="1"/>
  <c r="AA258" i="42" s="1"/>
  <c r="U146" i="42"/>
  <c r="X146" i="42" s="1"/>
  <c r="Y146" i="42" s="1"/>
  <c r="AA146" i="42" s="1"/>
  <c r="AC146" i="42"/>
  <c r="AE146" i="42" s="1"/>
  <c r="AF146" i="42" s="1"/>
  <c r="U281" i="42"/>
  <c r="X281" i="42" s="1"/>
  <c r="Y281" i="42" s="1"/>
  <c r="AA281" i="42" s="1"/>
  <c r="AC281" i="42"/>
  <c r="AE281" i="42" s="1"/>
  <c r="AF281" i="42" s="1"/>
  <c r="U263" i="42"/>
  <c r="X263" i="42" s="1"/>
  <c r="Y263" i="42" s="1"/>
  <c r="AA263" i="42" s="1"/>
  <c r="AC263" i="42"/>
  <c r="AE263" i="42" s="1"/>
  <c r="AF263" i="42" s="1"/>
  <c r="U273" i="42"/>
  <c r="X273" i="42" s="1"/>
  <c r="Y273" i="42" s="1"/>
  <c r="AA273" i="42" s="1"/>
  <c r="AC273" i="42"/>
  <c r="AE273" i="42" s="1"/>
  <c r="AF273" i="42" s="1"/>
  <c r="U279" i="42"/>
  <c r="X279" i="42" s="1"/>
  <c r="Y279" i="42" s="1"/>
  <c r="AA279" i="42" s="1"/>
  <c r="AC279" i="42"/>
  <c r="AE279" i="42" s="1"/>
  <c r="AF279" i="42" s="1"/>
  <c r="X304" i="42" l="1"/>
  <c r="Y6" i="42"/>
  <c r="AC304" i="42"/>
  <c r="U304" i="42"/>
  <c r="AE6" i="42"/>
  <c r="AA6" i="42" l="1"/>
  <c r="AA304" i="42" s="1"/>
  <c r="Y304" i="42"/>
  <c r="AE304" i="42"/>
  <c r="AF6" i="42"/>
  <c r="AF304" i="42" s="1"/>
  <c r="C1048534" i="30" l="1"/>
  <c r="U576" i="30"/>
  <c r="P576" i="30"/>
  <c r="M576" i="30"/>
  <c r="K576" i="30"/>
  <c r="G576" i="30"/>
  <c r="AB574" i="30"/>
  <c r="N574" i="30"/>
  <c r="L574" i="30"/>
  <c r="I574" i="30"/>
  <c r="H574" i="30"/>
  <c r="AB573" i="30"/>
  <c r="N573" i="30"/>
  <c r="L573" i="30"/>
  <c r="I573" i="30"/>
  <c r="H573" i="30"/>
  <c r="AB572" i="30"/>
  <c r="N572" i="30"/>
  <c r="L572" i="30"/>
  <c r="I572" i="30"/>
  <c r="H572" i="30"/>
  <c r="AB571" i="30"/>
  <c r="N571" i="30"/>
  <c r="L571" i="30"/>
  <c r="I571" i="30"/>
  <c r="H571" i="30"/>
  <c r="AB570" i="30"/>
  <c r="N570" i="30"/>
  <c r="L570" i="30"/>
  <c r="I570" i="30"/>
  <c r="H570" i="30"/>
  <c r="AB569" i="30"/>
  <c r="N569" i="30"/>
  <c r="L569" i="30"/>
  <c r="I569" i="30"/>
  <c r="H569" i="30"/>
  <c r="AB568" i="30"/>
  <c r="N568" i="30"/>
  <c r="L568" i="30"/>
  <c r="I568" i="30"/>
  <c r="H568" i="30"/>
  <c r="AB567" i="30"/>
  <c r="N567" i="30"/>
  <c r="L567" i="30"/>
  <c r="I567" i="30"/>
  <c r="H567" i="30"/>
  <c r="AB566" i="30"/>
  <c r="N566" i="30"/>
  <c r="L566" i="30"/>
  <c r="I566" i="30"/>
  <c r="H566" i="30"/>
  <c r="AB565" i="30"/>
  <c r="N565" i="30"/>
  <c r="L565" i="30"/>
  <c r="I565" i="30"/>
  <c r="H565" i="30"/>
  <c r="AB564" i="30"/>
  <c r="N564" i="30"/>
  <c r="L564" i="30"/>
  <c r="I564" i="30"/>
  <c r="H564" i="30"/>
  <c r="AB563" i="30"/>
  <c r="N563" i="30"/>
  <c r="L563" i="30"/>
  <c r="I563" i="30"/>
  <c r="H563" i="30"/>
  <c r="AB562" i="30"/>
  <c r="N562" i="30"/>
  <c r="L562" i="30"/>
  <c r="I562" i="30"/>
  <c r="H562" i="30"/>
  <c r="AB561" i="30"/>
  <c r="N561" i="30"/>
  <c r="L561" i="30"/>
  <c r="I561" i="30"/>
  <c r="H561" i="30"/>
  <c r="AB560" i="30"/>
  <c r="N560" i="30"/>
  <c r="L560" i="30"/>
  <c r="I560" i="30"/>
  <c r="H560" i="30"/>
  <c r="AB559" i="30"/>
  <c r="N559" i="30"/>
  <c r="L559" i="30"/>
  <c r="I559" i="30"/>
  <c r="H559" i="30"/>
  <c r="AB558" i="30"/>
  <c r="N558" i="30"/>
  <c r="L558" i="30"/>
  <c r="I558" i="30"/>
  <c r="H558" i="30"/>
  <c r="AB557" i="30"/>
  <c r="N557" i="30"/>
  <c r="L557" i="30"/>
  <c r="I557" i="30"/>
  <c r="H557" i="30"/>
  <c r="AB556" i="30"/>
  <c r="N556" i="30"/>
  <c r="L556" i="30"/>
  <c r="I556" i="30"/>
  <c r="H556" i="30"/>
  <c r="AB555" i="30"/>
  <c r="N555" i="30"/>
  <c r="L555" i="30"/>
  <c r="I555" i="30"/>
  <c r="H555" i="30"/>
  <c r="AB554" i="30"/>
  <c r="N554" i="30"/>
  <c r="L554" i="30"/>
  <c r="I554" i="30"/>
  <c r="H554" i="30"/>
  <c r="AB553" i="30"/>
  <c r="N553" i="30"/>
  <c r="L553" i="30"/>
  <c r="I553" i="30"/>
  <c r="H553" i="30"/>
  <c r="AB552" i="30"/>
  <c r="N552" i="30"/>
  <c r="L552" i="30"/>
  <c r="I552" i="30"/>
  <c r="H552" i="30"/>
  <c r="AB551" i="30"/>
  <c r="N551" i="30"/>
  <c r="L551" i="30"/>
  <c r="I551" i="30"/>
  <c r="H551" i="30"/>
  <c r="AB550" i="30"/>
  <c r="N550" i="30"/>
  <c r="L550" i="30"/>
  <c r="I550" i="30"/>
  <c r="H550" i="30"/>
  <c r="AB549" i="30"/>
  <c r="N549" i="30"/>
  <c r="L549" i="30"/>
  <c r="I549" i="30"/>
  <c r="H549" i="30"/>
  <c r="AB548" i="30"/>
  <c r="N548" i="30"/>
  <c r="L548" i="30"/>
  <c r="I548" i="30"/>
  <c r="H548" i="30"/>
  <c r="AB547" i="30"/>
  <c r="N547" i="30"/>
  <c r="L547" i="30"/>
  <c r="I547" i="30"/>
  <c r="H547" i="30"/>
  <c r="AB546" i="30"/>
  <c r="N546" i="30"/>
  <c r="L546" i="30"/>
  <c r="I546" i="30"/>
  <c r="H546" i="30"/>
  <c r="AB545" i="30"/>
  <c r="N545" i="30"/>
  <c r="L545" i="30"/>
  <c r="I545" i="30"/>
  <c r="H545" i="30"/>
  <c r="AB544" i="30"/>
  <c r="N544" i="30"/>
  <c r="L544" i="30"/>
  <c r="I544" i="30"/>
  <c r="H544" i="30"/>
  <c r="AB543" i="30"/>
  <c r="N543" i="30"/>
  <c r="L543" i="30"/>
  <c r="I543" i="30"/>
  <c r="H543" i="30"/>
  <c r="AB542" i="30"/>
  <c r="N542" i="30"/>
  <c r="L542" i="30"/>
  <c r="I542" i="30"/>
  <c r="H542" i="30"/>
  <c r="AB541" i="30"/>
  <c r="N541" i="30"/>
  <c r="L541" i="30"/>
  <c r="I541" i="30"/>
  <c r="H541" i="30"/>
  <c r="AB540" i="30"/>
  <c r="N540" i="30"/>
  <c r="L540" i="30"/>
  <c r="I540" i="30"/>
  <c r="H540" i="30"/>
  <c r="AB539" i="30"/>
  <c r="N539" i="30"/>
  <c r="L539" i="30"/>
  <c r="I539" i="30"/>
  <c r="H539" i="30"/>
  <c r="AB538" i="30"/>
  <c r="N538" i="30"/>
  <c r="L538" i="30"/>
  <c r="I538" i="30"/>
  <c r="H538" i="30"/>
  <c r="AB537" i="30"/>
  <c r="N537" i="30"/>
  <c r="L537" i="30"/>
  <c r="I537" i="30"/>
  <c r="H537" i="30"/>
  <c r="AB536" i="30"/>
  <c r="N536" i="30"/>
  <c r="L536" i="30"/>
  <c r="I536" i="30"/>
  <c r="H536" i="30"/>
  <c r="AB535" i="30"/>
  <c r="N535" i="30"/>
  <c r="L535" i="30"/>
  <c r="I535" i="30"/>
  <c r="H535" i="30"/>
  <c r="AB534" i="30"/>
  <c r="N534" i="30"/>
  <c r="L534" i="30"/>
  <c r="I534" i="30"/>
  <c r="H534" i="30"/>
  <c r="AB533" i="30"/>
  <c r="N533" i="30"/>
  <c r="L533" i="30"/>
  <c r="I533" i="30"/>
  <c r="H533" i="30"/>
  <c r="AB532" i="30"/>
  <c r="N532" i="30"/>
  <c r="L532" i="30"/>
  <c r="I532" i="30"/>
  <c r="H532" i="30"/>
  <c r="AB531" i="30"/>
  <c r="N531" i="30"/>
  <c r="L531" i="30"/>
  <c r="I531" i="30"/>
  <c r="H531" i="30"/>
  <c r="AB530" i="30"/>
  <c r="N530" i="30"/>
  <c r="L530" i="30"/>
  <c r="I530" i="30"/>
  <c r="H530" i="30"/>
  <c r="AB529" i="30"/>
  <c r="N529" i="30"/>
  <c r="L529" i="30"/>
  <c r="I529" i="30"/>
  <c r="H529" i="30"/>
  <c r="AB528" i="30"/>
  <c r="N528" i="30"/>
  <c r="L528" i="30"/>
  <c r="I528" i="30"/>
  <c r="H528" i="30"/>
  <c r="AB527" i="30"/>
  <c r="N527" i="30"/>
  <c r="L527" i="30"/>
  <c r="I527" i="30"/>
  <c r="H527" i="30"/>
  <c r="AB526" i="30"/>
  <c r="N526" i="30"/>
  <c r="L526" i="30"/>
  <c r="I526" i="30"/>
  <c r="H526" i="30"/>
  <c r="AB525" i="30"/>
  <c r="N525" i="30"/>
  <c r="L525" i="30"/>
  <c r="I525" i="30"/>
  <c r="H525" i="30"/>
  <c r="AB524" i="30"/>
  <c r="N524" i="30"/>
  <c r="L524" i="30"/>
  <c r="I524" i="30"/>
  <c r="H524" i="30"/>
  <c r="AB523" i="30"/>
  <c r="N523" i="30"/>
  <c r="L523" i="30"/>
  <c r="I523" i="30"/>
  <c r="H523" i="30"/>
  <c r="AB522" i="30"/>
  <c r="N522" i="30"/>
  <c r="L522" i="30"/>
  <c r="I522" i="30"/>
  <c r="H522" i="30"/>
  <c r="AB521" i="30"/>
  <c r="N521" i="30"/>
  <c r="L521" i="30"/>
  <c r="I521" i="30"/>
  <c r="H521" i="30"/>
  <c r="AB520" i="30"/>
  <c r="N520" i="30"/>
  <c r="L520" i="30"/>
  <c r="I520" i="30"/>
  <c r="H520" i="30"/>
  <c r="AB519" i="30"/>
  <c r="N519" i="30"/>
  <c r="L519" i="30"/>
  <c r="I519" i="30"/>
  <c r="H519" i="30"/>
  <c r="AB518" i="30"/>
  <c r="N518" i="30"/>
  <c r="L518" i="30"/>
  <c r="I518" i="30"/>
  <c r="H518" i="30"/>
  <c r="AB517" i="30"/>
  <c r="N517" i="30"/>
  <c r="L517" i="30"/>
  <c r="I517" i="30"/>
  <c r="H517" i="30"/>
  <c r="AB516" i="30"/>
  <c r="N516" i="30"/>
  <c r="L516" i="30"/>
  <c r="I516" i="30"/>
  <c r="H516" i="30"/>
  <c r="AB515" i="30"/>
  <c r="N515" i="30"/>
  <c r="L515" i="30"/>
  <c r="I515" i="30"/>
  <c r="H515" i="30"/>
  <c r="AB514" i="30"/>
  <c r="N514" i="30"/>
  <c r="L514" i="30"/>
  <c r="I514" i="30"/>
  <c r="H514" i="30"/>
  <c r="AB513" i="30"/>
  <c r="N513" i="30"/>
  <c r="L513" i="30"/>
  <c r="I513" i="30"/>
  <c r="H513" i="30"/>
  <c r="AB512" i="30"/>
  <c r="N512" i="30"/>
  <c r="L512" i="30"/>
  <c r="I512" i="30"/>
  <c r="H512" i="30"/>
  <c r="AB511" i="30"/>
  <c r="N511" i="30"/>
  <c r="L511" i="30"/>
  <c r="I511" i="30"/>
  <c r="H511" i="30"/>
  <c r="AB510" i="30"/>
  <c r="N510" i="30"/>
  <c r="L510" i="30"/>
  <c r="I510" i="30"/>
  <c r="H510" i="30"/>
  <c r="AB509" i="30"/>
  <c r="N509" i="30"/>
  <c r="L509" i="30"/>
  <c r="I509" i="30"/>
  <c r="H509" i="30"/>
  <c r="AB508" i="30"/>
  <c r="N508" i="30"/>
  <c r="L508" i="30"/>
  <c r="I508" i="30"/>
  <c r="H508" i="30"/>
  <c r="AB507" i="30"/>
  <c r="N507" i="30"/>
  <c r="L507" i="30"/>
  <c r="I507" i="30"/>
  <c r="H507" i="30"/>
  <c r="AB506" i="30"/>
  <c r="N506" i="30"/>
  <c r="L506" i="30"/>
  <c r="I506" i="30"/>
  <c r="H506" i="30"/>
  <c r="AB505" i="30"/>
  <c r="N505" i="30"/>
  <c r="L505" i="30"/>
  <c r="I505" i="30"/>
  <c r="H505" i="30"/>
  <c r="AB504" i="30"/>
  <c r="N504" i="30"/>
  <c r="L504" i="30"/>
  <c r="I504" i="30"/>
  <c r="H504" i="30"/>
  <c r="AB503" i="30"/>
  <c r="N503" i="30"/>
  <c r="L503" i="30"/>
  <c r="I503" i="30"/>
  <c r="H503" i="30"/>
  <c r="AB502" i="30"/>
  <c r="N502" i="30"/>
  <c r="L502" i="30"/>
  <c r="I502" i="30"/>
  <c r="H502" i="30"/>
  <c r="AB501" i="30"/>
  <c r="N501" i="30"/>
  <c r="L501" i="30"/>
  <c r="I501" i="30"/>
  <c r="H501" i="30"/>
  <c r="AB500" i="30"/>
  <c r="N500" i="30"/>
  <c r="L500" i="30"/>
  <c r="I500" i="30"/>
  <c r="H500" i="30"/>
  <c r="AB499" i="30"/>
  <c r="N499" i="30"/>
  <c r="L499" i="30"/>
  <c r="I499" i="30"/>
  <c r="H499" i="30"/>
  <c r="AB498" i="30"/>
  <c r="N498" i="30"/>
  <c r="L498" i="30"/>
  <c r="I498" i="30"/>
  <c r="H498" i="30"/>
  <c r="AB497" i="30"/>
  <c r="N497" i="30"/>
  <c r="L497" i="30"/>
  <c r="I497" i="30"/>
  <c r="H497" i="30"/>
  <c r="AB496" i="30"/>
  <c r="N496" i="30"/>
  <c r="L496" i="30"/>
  <c r="I496" i="30"/>
  <c r="H496" i="30"/>
  <c r="AB495" i="30"/>
  <c r="N495" i="30"/>
  <c r="L495" i="30"/>
  <c r="I495" i="30"/>
  <c r="H495" i="30"/>
  <c r="AB494" i="30"/>
  <c r="N494" i="30"/>
  <c r="L494" i="30"/>
  <c r="I494" i="30"/>
  <c r="H494" i="30"/>
  <c r="AB493" i="30"/>
  <c r="N493" i="30"/>
  <c r="L493" i="30"/>
  <c r="I493" i="30"/>
  <c r="H493" i="30"/>
  <c r="AB492" i="30"/>
  <c r="N492" i="30"/>
  <c r="L492" i="30"/>
  <c r="I492" i="30"/>
  <c r="H492" i="30"/>
  <c r="AB491" i="30"/>
  <c r="N491" i="30"/>
  <c r="L491" i="30"/>
  <c r="I491" i="30"/>
  <c r="H491" i="30"/>
  <c r="AB490" i="30"/>
  <c r="N490" i="30"/>
  <c r="L490" i="30"/>
  <c r="I490" i="30"/>
  <c r="H490" i="30"/>
  <c r="AB489" i="30"/>
  <c r="N489" i="30"/>
  <c r="L489" i="30"/>
  <c r="I489" i="30"/>
  <c r="H489" i="30"/>
  <c r="AB488" i="30"/>
  <c r="N488" i="30"/>
  <c r="L488" i="30"/>
  <c r="I488" i="30"/>
  <c r="H488" i="30"/>
  <c r="AB487" i="30"/>
  <c r="N487" i="30"/>
  <c r="L487" i="30"/>
  <c r="I487" i="30"/>
  <c r="H487" i="30"/>
  <c r="AB486" i="30"/>
  <c r="N486" i="30"/>
  <c r="L486" i="30"/>
  <c r="I486" i="30"/>
  <c r="H486" i="30"/>
  <c r="AB485" i="30"/>
  <c r="N485" i="30"/>
  <c r="L485" i="30"/>
  <c r="I485" i="30"/>
  <c r="H485" i="30"/>
  <c r="AB484" i="30"/>
  <c r="N484" i="30"/>
  <c r="L484" i="30"/>
  <c r="I484" i="30"/>
  <c r="H484" i="30"/>
  <c r="AB483" i="30"/>
  <c r="N483" i="30"/>
  <c r="L483" i="30"/>
  <c r="I483" i="30"/>
  <c r="H483" i="30"/>
  <c r="AB482" i="30"/>
  <c r="N482" i="30"/>
  <c r="L482" i="30"/>
  <c r="I482" i="30"/>
  <c r="H482" i="30"/>
  <c r="AB481" i="30"/>
  <c r="N481" i="30"/>
  <c r="L481" i="30"/>
  <c r="I481" i="30"/>
  <c r="H481" i="30"/>
  <c r="AB480" i="30"/>
  <c r="N480" i="30"/>
  <c r="L480" i="30"/>
  <c r="I480" i="30"/>
  <c r="H480" i="30"/>
  <c r="AB479" i="30"/>
  <c r="N479" i="30"/>
  <c r="L479" i="30"/>
  <c r="I479" i="30"/>
  <c r="H479" i="30"/>
  <c r="AB478" i="30"/>
  <c r="N478" i="30"/>
  <c r="L478" i="30"/>
  <c r="I478" i="30"/>
  <c r="H478" i="30"/>
  <c r="AB477" i="30"/>
  <c r="N477" i="30"/>
  <c r="L477" i="30"/>
  <c r="I477" i="30"/>
  <c r="H477" i="30"/>
  <c r="AB476" i="30"/>
  <c r="N476" i="30"/>
  <c r="L476" i="30"/>
  <c r="I476" i="30"/>
  <c r="H476" i="30"/>
  <c r="AB475" i="30"/>
  <c r="N475" i="30"/>
  <c r="L475" i="30"/>
  <c r="I475" i="30"/>
  <c r="H475" i="30"/>
  <c r="AB474" i="30"/>
  <c r="N474" i="30"/>
  <c r="L474" i="30"/>
  <c r="I474" i="30"/>
  <c r="H474" i="30"/>
  <c r="AB473" i="30"/>
  <c r="N473" i="30"/>
  <c r="L473" i="30"/>
  <c r="I473" i="30"/>
  <c r="H473" i="30"/>
  <c r="AB472" i="30"/>
  <c r="N472" i="30"/>
  <c r="L472" i="30"/>
  <c r="I472" i="30"/>
  <c r="H472" i="30"/>
  <c r="AB471" i="30"/>
  <c r="N471" i="30"/>
  <c r="L471" i="30"/>
  <c r="I471" i="30"/>
  <c r="H471" i="30"/>
  <c r="AB470" i="30"/>
  <c r="N470" i="30"/>
  <c r="L470" i="30"/>
  <c r="I470" i="30"/>
  <c r="H470" i="30"/>
  <c r="AB469" i="30"/>
  <c r="N469" i="30"/>
  <c r="L469" i="30"/>
  <c r="I469" i="30"/>
  <c r="H469" i="30"/>
  <c r="AB468" i="30"/>
  <c r="N468" i="30"/>
  <c r="L468" i="30"/>
  <c r="I468" i="30"/>
  <c r="H468" i="30"/>
  <c r="AB467" i="30"/>
  <c r="N467" i="30"/>
  <c r="L467" i="30"/>
  <c r="I467" i="30"/>
  <c r="H467" i="30"/>
  <c r="AB466" i="30"/>
  <c r="N466" i="30"/>
  <c r="L466" i="30"/>
  <c r="I466" i="30"/>
  <c r="H466" i="30"/>
  <c r="AB465" i="30"/>
  <c r="N465" i="30"/>
  <c r="L465" i="30"/>
  <c r="I465" i="30"/>
  <c r="H465" i="30"/>
  <c r="AB464" i="30"/>
  <c r="N464" i="30"/>
  <c r="L464" i="30"/>
  <c r="I464" i="30"/>
  <c r="H464" i="30"/>
  <c r="AB463" i="30"/>
  <c r="N463" i="30"/>
  <c r="L463" i="30"/>
  <c r="I463" i="30"/>
  <c r="H463" i="30"/>
  <c r="AB462" i="30"/>
  <c r="N462" i="30"/>
  <c r="L462" i="30"/>
  <c r="I462" i="30"/>
  <c r="H462" i="30"/>
  <c r="AB461" i="30"/>
  <c r="N461" i="30"/>
  <c r="L461" i="30"/>
  <c r="I461" i="30"/>
  <c r="H461" i="30"/>
  <c r="AB460" i="30"/>
  <c r="N460" i="30"/>
  <c r="L460" i="30"/>
  <c r="I460" i="30"/>
  <c r="H460" i="30"/>
  <c r="AB459" i="30"/>
  <c r="N459" i="30"/>
  <c r="L459" i="30"/>
  <c r="I459" i="30"/>
  <c r="H459" i="30"/>
  <c r="AB458" i="30"/>
  <c r="N458" i="30"/>
  <c r="L458" i="30"/>
  <c r="I458" i="30"/>
  <c r="H458" i="30"/>
  <c r="AB457" i="30"/>
  <c r="N457" i="30"/>
  <c r="L457" i="30"/>
  <c r="I457" i="30"/>
  <c r="H457" i="30"/>
  <c r="AB456" i="30"/>
  <c r="N456" i="30"/>
  <c r="L456" i="30"/>
  <c r="I456" i="30"/>
  <c r="H456" i="30"/>
  <c r="AB455" i="30"/>
  <c r="N455" i="30"/>
  <c r="L455" i="30"/>
  <c r="I455" i="30"/>
  <c r="H455" i="30"/>
  <c r="AB454" i="30"/>
  <c r="N454" i="30"/>
  <c r="L454" i="30"/>
  <c r="I454" i="30"/>
  <c r="H454" i="30"/>
  <c r="AB453" i="30"/>
  <c r="N453" i="30"/>
  <c r="L453" i="30"/>
  <c r="I453" i="30"/>
  <c r="H453" i="30"/>
  <c r="AB452" i="30"/>
  <c r="N452" i="30"/>
  <c r="L452" i="30"/>
  <c r="I452" i="30"/>
  <c r="H452" i="30"/>
  <c r="AB451" i="30"/>
  <c r="N451" i="30"/>
  <c r="L451" i="30"/>
  <c r="I451" i="30"/>
  <c r="H451" i="30"/>
  <c r="AB450" i="30"/>
  <c r="N450" i="30"/>
  <c r="L450" i="30"/>
  <c r="I450" i="30"/>
  <c r="H450" i="30"/>
  <c r="AB449" i="30"/>
  <c r="N449" i="30"/>
  <c r="L449" i="30"/>
  <c r="I449" i="30"/>
  <c r="H449" i="30"/>
  <c r="AB448" i="30"/>
  <c r="N448" i="30"/>
  <c r="L448" i="30"/>
  <c r="I448" i="30"/>
  <c r="H448" i="30"/>
  <c r="AB447" i="30"/>
  <c r="N447" i="30"/>
  <c r="L447" i="30"/>
  <c r="I447" i="30"/>
  <c r="H447" i="30"/>
  <c r="AB446" i="30"/>
  <c r="N446" i="30"/>
  <c r="L446" i="30"/>
  <c r="I446" i="30"/>
  <c r="H446" i="30"/>
  <c r="AB445" i="30"/>
  <c r="N445" i="30"/>
  <c r="L445" i="30"/>
  <c r="I445" i="30"/>
  <c r="H445" i="30"/>
  <c r="AB444" i="30"/>
  <c r="N444" i="30"/>
  <c r="L444" i="30"/>
  <c r="I444" i="30"/>
  <c r="H444" i="30"/>
  <c r="AB443" i="30"/>
  <c r="N443" i="30"/>
  <c r="L443" i="30"/>
  <c r="I443" i="30"/>
  <c r="H443" i="30"/>
  <c r="AB442" i="30"/>
  <c r="N442" i="30"/>
  <c r="L442" i="30"/>
  <c r="I442" i="30"/>
  <c r="H442" i="30"/>
  <c r="AB441" i="30"/>
  <c r="N441" i="30"/>
  <c r="L441" i="30"/>
  <c r="I441" i="30"/>
  <c r="H441" i="30"/>
  <c r="AB440" i="30"/>
  <c r="N440" i="30"/>
  <c r="L440" i="30"/>
  <c r="I440" i="30"/>
  <c r="H440" i="30"/>
  <c r="B440" i="30"/>
  <c r="B441" i="30" s="1"/>
  <c r="B442" i="30" s="1"/>
  <c r="B443" i="30" s="1"/>
  <c r="B444" i="30" s="1"/>
  <c r="B445" i="30" s="1"/>
  <c r="B446" i="30" s="1"/>
  <c r="B447" i="30" s="1"/>
  <c r="B448" i="30" s="1"/>
  <c r="AB439" i="30"/>
  <c r="N439" i="30"/>
  <c r="L439" i="30"/>
  <c r="I439" i="30"/>
  <c r="H439" i="30"/>
  <c r="AB438" i="30"/>
  <c r="N438" i="30"/>
  <c r="L438" i="30"/>
  <c r="I438" i="30"/>
  <c r="H438" i="30"/>
  <c r="AB437" i="30"/>
  <c r="N437" i="30"/>
  <c r="L437" i="30"/>
  <c r="I437" i="30"/>
  <c r="H437" i="30"/>
  <c r="AB436" i="30"/>
  <c r="N436" i="30"/>
  <c r="L436" i="30"/>
  <c r="I436" i="30"/>
  <c r="H436" i="30"/>
  <c r="AB435" i="30"/>
  <c r="N435" i="30"/>
  <c r="L435" i="30"/>
  <c r="I435" i="30"/>
  <c r="H435" i="30"/>
  <c r="AB434" i="30"/>
  <c r="N434" i="30"/>
  <c r="L434" i="30"/>
  <c r="I434" i="30"/>
  <c r="H434" i="30"/>
  <c r="AB433" i="30"/>
  <c r="N433" i="30"/>
  <c r="L433" i="30"/>
  <c r="I433" i="30"/>
  <c r="H433" i="30"/>
  <c r="AB432" i="30"/>
  <c r="N432" i="30"/>
  <c r="L432" i="30"/>
  <c r="I432" i="30"/>
  <c r="H432" i="30"/>
  <c r="AB431" i="30"/>
  <c r="N431" i="30"/>
  <c r="L431" i="30"/>
  <c r="I431" i="30"/>
  <c r="H431" i="30"/>
  <c r="AB430" i="30"/>
  <c r="N430" i="30"/>
  <c r="L430" i="30"/>
  <c r="I430" i="30"/>
  <c r="H430" i="30"/>
  <c r="AB429" i="30"/>
  <c r="N429" i="30"/>
  <c r="L429" i="30"/>
  <c r="I429" i="30"/>
  <c r="H429" i="30"/>
  <c r="AB428" i="30"/>
  <c r="N428" i="30"/>
  <c r="L428" i="30"/>
  <c r="I428" i="30"/>
  <c r="H428" i="30"/>
  <c r="AB427" i="30"/>
  <c r="N427" i="30"/>
  <c r="L427" i="30"/>
  <c r="I427" i="30"/>
  <c r="H427" i="30"/>
  <c r="AB426" i="30"/>
  <c r="N426" i="30"/>
  <c r="L426" i="30"/>
  <c r="I426" i="30"/>
  <c r="H426" i="30"/>
  <c r="B426" i="30"/>
  <c r="B427" i="30" s="1"/>
  <c r="B428" i="30" s="1"/>
  <c r="B429" i="30" s="1"/>
  <c r="B430" i="30" s="1"/>
  <c r="B431" i="30" s="1"/>
  <c r="B432" i="30" s="1"/>
  <c r="B433" i="30" s="1"/>
  <c r="B434" i="30" s="1"/>
  <c r="B435" i="30" s="1"/>
  <c r="B436" i="30" s="1"/>
  <c r="B437" i="30" s="1"/>
  <c r="B438" i="30" s="1"/>
  <c r="B439" i="30" s="1"/>
  <c r="AB425" i="30"/>
  <c r="N425" i="30"/>
  <c r="L425" i="30"/>
  <c r="I425" i="30"/>
  <c r="H425" i="30"/>
  <c r="AB424" i="30"/>
  <c r="N424" i="30"/>
  <c r="L424" i="30"/>
  <c r="I424" i="30"/>
  <c r="H424" i="30"/>
  <c r="AB423" i="30"/>
  <c r="N423" i="30"/>
  <c r="L423" i="30"/>
  <c r="I423" i="30"/>
  <c r="H423" i="30"/>
  <c r="AB422" i="30"/>
  <c r="N422" i="30"/>
  <c r="L422" i="30"/>
  <c r="I422" i="30"/>
  <c r="H422" i="30"/>
  <c r="AB421" i="30"/>
  <c r="N421" i="30"/>
  <c r="L421" i="30"/>
  <c r="I421" i="30"/>
  <c r="H421" i="30"/>
  <c r="B421" i="30"/>
  <c r="B422" i="30" s="1"/>
  <c r="B423" i="30" s="1"/>
  <c r="B424" i="30" s="1"/>
  <c r="B425" i="30" s="1"/>
  <c r="AB420" i="30"/>
  <c r="N420" i="30"/>
  <c r="L420" i="30"/>
  <c r="I420" i="30"/>
  <c r="H420" i="30"/>
  <c r="B420" i="30"/>
  <c r="AB419" i="30"/>
  <c r="N419" i="30"/>
  <c r="L419" i="30"/>
  <c r="I419" i="30"/>
  <c r="H419" i="30"/>
  <c r="B419" i="30"/>
  <c r="AB418" i="30"/>
  <c r="N418" i="30"/>
  <c r="L418" i="30"/>
  <c r="I418" i="30"/>
  <c r="H418" i="30"/>
  <c r="AB417" i="30"/>
  <c r="N417" i="30"/>
  <c r="L417" i="30"/>
  <c r="I417" i="30"/>
  <c r="H417" i="30"/>
  <c r="AB416" i="30"/>
  <c r="N416" i="30"/>
  <c r="L416" i="30"/>
  <c r="I416" i="30"/>
  <c r="H416" i="30"/>
  <c r="B416" i="30"/>
  <c r="B417" i="30" s="1"/>
  <c r="B418" i="30" s="1"/>
  <c r="AB415" i="30"/>
  <c r="N415" i="30"/>
  <c r="L415" i="30"/>
  <c r="I415" i="30"/>
  <c r="H415" i="30"/>
  <c r="AB414" i="30"/>
  <c r="N414" i="30"/>
  <c r="L414" i="30"/>
  <c r="I414" i="30"/>
  <c r="H414" i="30"/>
  <c r="AB413" i="30"/>
  <c r="N413" i="30"/>
  <c r="L413" i="30"/>
  <c r="I413" i="30"/>
  <c r="H413" i="30"/>
  <c r="AB412" i="30"/>
  <c r="N412" i="30"/>
  <c r="L412" i="30"/>
  <c r="I412" i="30"/>
  <c r="H412" i="30"/>
  <c r="AB411" i="30"/>
  <c r="N411" i="30"/>
  <c r="L411" i="30"/>
  <c r="I411" i="30"/>
  <c r="H411" i="30"/>
  <c r="AB410" i="30"/>
  <c r="N410" i="30"/>
  <c r="L410" i="30"/>
  <c r="I410" i="30"/>
  <c r="H410" i="30"/>
  <c r="AB409" i="30"/>
  <c r="N409" i="30"/>
  <c r="L409" i="30"/>
  <c r="I409" i="30"/>
  <c r="H409" i="30"/>
  <c r="AB408" i="30"/>
  <c r="N408" i="30"/>
  <c r="L408" i="30"/>
  <c r="I408" i="30"/>
  <c r="H408" i="30"/>
  <c r="AB407" i="30"/>
  <c r="N407" i="30"/>
  <c r="L407" i="30"/>
  <c r="I407" i="30"/>
  <c r="H407" i="30"/>
  <c r="AB406" i="30"/>
  <c r="N406" i="30"/>
  <c r="L406" i="30"/>
  <c r="I406" i="30"/>
  <c r="H406" i="30"/>
  <c r="AB405" i="30"/>
  <c r="N405" i="30"/>
  <c r="L405" i="30"/>
  <c r="I405" i="30"/>
  <c r="H405" i="30"/>
  <c r="AB404" i="30"/>
  <c r="N404" i="30"/>
  <c r="L404" i="30"/>
  <c r="I404" i="30"/>
  <c r="H404" i="30"/>
  <c r="AB403" i="30"/>
  <c r="N403" i="30"/>
  <c r="L403" i="30"/>
  <c r="I403" i="30"/>
  <c r="H403" i="30"/>
  <c r="AB402" i="30"/>
  <c r="N402" i="30"/>
  <c r="L402" i="30"/>
  <c r="I402" i="30"/>
  <c r="H402" i="30"/>
  <c r="AB401" i="30"/>
  <c r="N401" i="30"/>
  <c r="L401" i="30"/>
  <c r="I401" i="30"/>
  <c r="H401" i="30"/>
  <c r="AB400" i="30"/>
  <c r="N400" i="30"/>
  <c r="L400" i="30"/>
  <c r="I400" i="30"/>
  <c r="H400" i="30"/>
  <c r="AB399" i="30"/>
  <c r="N399" i="30"/>
  <c r="L399" i="30"/>
  <c r="I399" i="30"/>
  <c r="H399" i="30"/>
  <c r="AB398" i="30"/>
  <c r="N398" i="30"/>
  <c r="L398" i="30"/>
  <c r="I398" i="30"/>
  <c r="H398" i="30"/>
  <c r="AB397" i="30"/>
  <c r="N397" i="30"/>
  <c r="L397" i="30"/>
  <c r="I397" i="30"/>
  <c r="H397" i="30"/>
  <c r="AB396" i="30"/>
  <c r="N396" i="30"/>
  <c r="L396" i="30"/>
  <c r="I396" i="30"/>
  <c r="H396" i="30"/>
  <c r="AB395" i="30"/>
  <c r="N395" i="30"/>
  <c r="L395" i="30"/>
  <c r="I395" i="30"/>
  <c r="H395" i="30"/>
  <c r="AB394" i="30"/>
  <c r="N394" i="30"/>
  <c r="L394" i="30"/>
  <c r="I394" i="30"/>
  <c r="H394" i="30"/>
  <c r="B394" i="30"/>
  <c r="B395" i="30" s="1"/>
  <c r="B396" i="30" s="1"/>
  <c r="B397" i="30" s="1"/>
  <c r="B398" i="30" s="1"/>
  <c r="B399" i="30" s="1"/>
  <c r="B400" i="30" s="1"/>
  <c r="B401" i="30" s="1"/>
  <c r="B402" i="30" s="1"/>
  <c r="B403" i="30" s="1"/>
  <c r="B404" i="30" s="1"/>
  <c r="B405" i="30" s="1"/>
  <c r="B406" i="30" s="1"/>
  <c r="B407" i="30" s="1"/>
  <c r="B408" i="30" s="1"/>
  <c r="B409" i="30" s="1"/>
  <c r="B410" i="30" s="1"/>
  <c r="B411" i="30" s="1"/>
  <c r="B412" i="30" s="1"/>
  <c r="B413" i="30" s="1"/>
  <c r="B414" i="30" s="1"/>
  <c r="B415" i="30" s="1"/>
  <c r="AB393" i="30"/>
  <c r="N393" i="30"/>
  <c r="L393" i="30"/>
  <c r="I393" i="30"/>
  <c r="H393" i="30"/>
  <c r="AB392" i="30"/>
  <c r="N392" i="30"/>
  <c r="L392" i="30"/>
  <c r="I392" i="30"/>
  <c r="H392" i="30"/>
  <c r="AB391" i="30"/>
  <c r="N391" i="30"/>
  <c r="L391" i="30"/>
  <c r="I391" i="30"/>
  <c r="H391" i="30"/>
  <c r="AB390" i="30"/>
  <c r="N390" i="30"/>
  <c r="L390" i="30"/>
  <c r="I390" i="30"/>
  <c r="H390" i="30"/>
  <c r="AB389" i="30"/>
  <c r="N389" i="30"/>
  <c r="L389" i="30"/>
  <c r="I389" i="30"/>
  <c r="H389" i="30"/>
  <c r="AB388" i="30"/>
  <c r="N388" i="30"/>
  <c r="L388" i="30"/>
  <c r="I388" i="30"/>
  <c r="H388" i="30"/>
  <c r="AB387" i="30"/>
  <c r="N387" i="30"/>
  <c r="L387" i="30"/>
  <c r="I387" i="30"/>
  <c r="H387" i="30"/>
  <c r="AB386" i="30"/>
  <c r="N386" i="30"/>
  <c r="L386" i="30"/>
  <c r="I386" i="30"/>
  <c r="H386" i="30"/>
  <c r="AB385" i="30"/>
  <c r="N385" i="30"/>
  <c r="L385" i="30"/>
  <c r="I385" i="30"/>
  <c r="H385" i="30"/>
  <c r="AB384" i="30"/>
  <c r="N384" i="30"/>
  <c r="L384" i="30"/>
  <c r="I384" i="30"/>
  <c r="H384" i="30"/>
  <c r="AB383" i="30"/>
  <c r="N383" i="30"/>
  <c r="L383" i="30"/>
  <c r="I383" i="30"/>
  <c r="H383" i="30"/>
  <c r="B383" i="30"/>
  <c r="B384" i="30" s="1"/>
  <c r="B385" i="30" s="1"/>
  <c r="B386" i="30" s="1"/>
  <c r="B387" i="30" s="1"/>
  <c r="B388" i="30" s="1"/>
  <c r="B389" i="30" s="1"/>
  <c r="B390" i="30" s="1"/>
  <c r="B391" i="30" s="1"/>
  <c r="B392" i="30" s="1"/>
  <c r="B393" i="30" s="1"/>
  <c r="AB382" i="30"/>
  <c r="N382" i="30"/>
  <c r="L382" i="30"/>
  <c r="I382" i="30"/>
  <c r="H382" i="30"/>
  <c r="AB381" i="30"/>
  <c r="N381" i="30"/>
  <c r="L381" i="30"/>
  <c r="I381" i="30"/>
  <c r="H381" i="30"/>
  <c r="AB380" i="30"/>
  <c r="N380" i="30"/>
  <c r="L380" i="30"/>
  <c r="I380" i="30"/>
  <c r="H380" i="30"/>
  <c r="AB379" i="30"/>
  <c r="N379" i="30"/>
  <c r="L379" i="30"/>
  <c r="I379" i="30"/>
  <c r="H379" i="30"/>
  <c r="B379" i="30"/>
  <c r="B380" i="30" s="1"/>
  <c r="B381" i="30" s="1"/>
  <c r="B382" i="30" s="1"/>
  <c r="AB378" i="30"/>
  <c r="N378" i="30"/>
  <c r="L378" i="30"/>
  <c r="I378" i="30"/>
  <c r="H378" i="30"/>
  <c r="AB377" i="30"/>
  <c r="N377" i="30"/>
  <c r="L377" i="30"/>
  <c r="I377" i="30"/>
  <c r="H377" i="30"/>
  <c r="AB376" i="30"/>
  <c r="N376" i="30"/>
  <c r="L376" i="30"/>
  <c r="I376" i="30"/>
  <c r="H376" i="30"/>
  <c r="AB375" i="30"/>
  <c r="N375" i="30"/>
  <c r="L375" i="30"/>
  <c r="I375" i="30"/>
  <c r="H375" i="30"/>
  <c r="AB374" i="30"/>
  <c r="N374" i="30"/>
  <c r="L374" i="30"/>
  <c r="I374" i="30"/>
  <c r="H374" i="30"/>
  <c r="AB373" i="30"/>
  <c r="N373" i="30"/>
  <c r="L373" i="30"/>
  <c r="I373" i="30"/>
  <c r="H373" i="30"/>
  <c r="AB372" i="30"/>
  <c r="N372" i="30"/>
  <c r="L372" i="30"/>
  <c r="I372" i="30"/>
  <c r="H372" i="30"/>
  <c r="AB371" i="30"/>
  <c r="N371" i="30"/>
  <c r="L371" i="30"/>
  <c r="I371" i="30"/>
  <c r="H371" i="30"/>
  <c r="AB370" i="30"/>
  <c r="N370" i="30"/>
  <c r="L370" i="30"/>
  <c r="I370" i="30"/>
  <c r="H370" i="30"/>
  <c r="AB369" i="30"/>
  <c r="N369" i="30"/>
  <c r="L369" i="30"/>
  <c r="I369" i="30"/>
  <c r="H369" i="30"/>
  <c r="AB368" i="30"/>
  <c r="N368" i="30"/>
  <c r="L368" i="30"/>
  <c r="I368" i="30"/>
  <c r="H368" i="30"/>
  <c r="B368" i="30"/>
  <c r="B369" i="30" s="1"/>
  <c r="B370" i="30" s="1"/>
  <c r="B371" i="30" s="1"/>
  <c r="B372" i="30" s="1"/>
  <c r="B373" i="30" s="1"/>
  <c r="B374" i="30" s="1"/>
  <c r="B375" i="30" s="1"/>
  <c r="B376" i="30" s="1"/>
  <c r="B377" i="30" s="1"/>
  <c r="B378" i="30" s="1"/>
  <c r="AB367" i="30"/>
  <c r="N367" i="30"/>
  <c r="L367" i="30"/>
  <c r="I367" i="30"/>
  <c r="H367" i="30"/>
  <c r="AB366" i="30"/>
  <c r="N366" i="30"/>
  <c r="L366" i="30"/>
  <c r="I366" i="30"/>
  <c r="H366" i="30"/>
  <c r="B366" i="30"/>
  <c r="B367" i="30" s="1"/>
  <c r="AB365" i="30"/>
  <c r="N365" i="30"/>
  <c r="L365" i="30"/>
  <c r="I365" i="30"/>
  <c r="H365" i="30"/>
  <c r="AB364" i="30"/>
  <c r="N364" i="30"/>
  <c r="L364" i="30"/>
  <c r="I364" i="30"/>
  <c r="H364" i="30"/>
  <c r="B364" i="30"/>
  <c r="B365" i="30" s="1"/>
  <c r="AB363" i="30"/>
  <c r="N363" i="30"/>
  <c r="L363" i="30"/>
  <c r="I363" i="30"/>
  <c r="H363" i="30"/>
  <c r="AB362" i="30"/>
  <c r="N362" i="30"/>
  <c r="L362" i="30"/>
  <c r="I362" i="30"/>
  <c r="H362" i="30"/>
  <c r="AB361" i="30"/>
  <c r="N361" i="30"/>
  <c r="L361" i="30"/>
  <c r="I361" i="30"/>
  <c r="H361" i="30"/>
  <c r="AB360" i="30"/>
  <c r="N360" i="30"/>
  <c r="L360" i="30"/>
  <c r="I360" i="30"/>
  <c r="H360" i="30"/>
  <c r="AB359" i="30"/>
  <c r="N359" i="30"/>
  <c r="L359" i="30"/>
  <c r="I359" i="30"/>
  <c r="H359" i="30"/>
  <c r="AB358" i="30"/>
  <c r="N358" i="30"/>
  <c r="L358" i="30"/>
  <c r="I358" i="30"/>
  <c r="H358" i="30"/>
  <c r="AB357" i="30"/>
  <c r="N357" i="30"/>
  <c r="L357" i="30"/>
  <c r="I357" i="30"/>
  <c r="H357" i="30"/>
  <c r="AB356" i="30"/>
  <c r="N356" i="30"/>
  <c r="L356" i="30"/>
  <c r="I356" i="30"/>
  <c r="H356" i="30"/>
  <c r="AB355" i="30"/>
  <c r="N355" i="30"/>
  <c r="L355" i="30"/>
  <c r="I355" i="30"/>
  <c r="H355" i="30"/>
  <c r="AB354" i="30"/>
  <c r="N354" i="30"/>
  <c r="L354" i="30"/>
  <c r="I354" i="30"/>
  <c r="H354" i="30"/>
  <c r="AB353" i="30"/>
  <c r="N353" i="30"/>
  <c r="L353" i="30"/>
  <c r="I353" i="30"/>
  <c r="H353" i="30"/>
  <c r="AB352" i="30"/>
  <c r="N352" i="30"/>
  <c r="L352" i="30"/>
  <c r="I352" i="30"/>
  <c r="H352" i="30"/>
  <c r="AB351" i="30"/>
  <c r="N351" i="30"/>
  <c r="L351" i="30"/>
  <c r="I351" i="30"/>
  <c r="H351" i="30"/>
  <c r="AB350" i="30"/>
  <c r="N350" i="30"/>
  <c r="L350" i="30"/>
  <c r="I350" i="30"/>
  <c r="H350" i="30"/>
  <c r="AB349" i="30"/>
  <c r="N349" i="30"/>
  <c r="L349" i="30"/>
  <c r="I349" i="30"/>
  <c r="H349" i="30"/>
  <c r="AB348" i="30"/>
  <c r="N348" i="30"/>
  <c r="L348" i="30"/>
  <c r="I348" i="30"/>
  <c r="H348" i="30"/>
  <c r="AB347" i="30"/>
  <c r="N347" i="30"/>
  <c r="L347" i="30"/>
  <c r="I347" i="30"/>
  <c r="H347" i="30"/>
  <c r="B347" i="30"/>
  <c r="B348" i="30" s="1"/>
  <c r="B349" i="30" s="1"/>
  <c r="B350" i="30" s="1"/>
  <c r="B351" i="30" s="1"/>
  <c r="B352" i="30" s="1"/>
  <c r="B353" i="30" s="1"/>
  <c r="B354" i="30" s="1"/>
  <c r="B355" i="30" s="1"/>
  <c r="B356" i="30" s="1"/>
  <c r="B357" i="30" s="1"/>
  <c r="B358" i="30" s="1"/>
  <c r="B359" i="30" s="1"/>
  <c r="B360" i="30" s="1"/>
  <c r="B361" i="30" s="1"/>
  <c r="B362" i="30" s="1"/>
  <c r="B363" i="30" s="1"/>
  <c r="AB346" i="30"/>
  <c r="N346" i="30"/>
  <c r="L346" i="30"/>
  <c r="I346" i="30"/>
  <c r="H346" i="30"/>
  <c r="B346" i="30"/>
  <c r="AB345" i="30"/>
  <c r="N345" i="30"/>
  <c r="L345" i="30"/>
  <c r="I345" i="30"/>
  <c r="H345" i="30"/>
  <c r="AB344" i="30"/>
  <c r="N344" i="30"/>
  <c r="L344" i="30"/>
  <c r="I344" i="30"/>
  <c r="H344" i="30"/>
  <c r="AB343" i="30"/>
  <c r="N343" i="30"/>
  <c r="L343" i="30"/>
  <c r="I343" i="30"/>
  <c r="H343" i="30"/>
  <c r="AB342" i="30"/>
  <c r="N342" i="30"/>
  <c r="L342" i="30"/>
  <c r="I342" i="30"/>
  <c r="H342" i="30"/>
  <c r="AB341" i="30"/>
  <c r="N341" i="30"/>
  <c r="L341" i="30"/>
  <c r="I341" i="30"/>
  <c r="H341" i="30"/>
  <c r="B341" i="30"/>
  <c r="B342" i="30" s="1"/>
  <c r="B343" i="30" s="1"/>
  <c r="B344" i="30" s="1"/>
  <c r="B345" i="30" s="1"/>
  <c r="AB340" i="30"/>
  <c r="N340" i="30"/>
  <c r="L340" i="30"/>
  <c r="I340" i="30"/>
  <c r="H340" i="30"/>
  <c r="AB339" i="30"/>
  <c r="N339" i="30"/>
  <c r="L339" i="30"/>
  <c r="I339" i="30"/>
  <c r="H339" i="30"/>
  <c r="B339" i="30"/>
  <c r="B340" i="30" s="1"/>
  <c r="AB338" i="30"/>
  <c r="N338" i="30"/>
  <c r="L338" i="30"/>
  <c r="I338" i="30"/>
  <c r="H338" i="30"/>
  <c r="AB337" i="30"/>
  <c r="N337" i="30"/>
  <c r="L337" i="30"/>
  <c r="I337" i="30"/>
  <c r="H337" i="30"/>
  <c r="B337" i="30"/>
  <c r="B338" i="30" s="1"/>
  <c r="AB336" i="30"/>
  <c r="N336" i="30"/>
  <c r="L336" i="30"/>
  <c r="I336" i="30"/>
  <c r="H336" i="30"/>
  <c r="AB335" i="30"/>
  <c r="N335" i="30"/>
  <c r="L335" i="30"/>
  <c r="I335" i="30"/>
  <c r="H335" i="30"/>
  <c r="AB334" i="30"/>
  <c r="N334" i="30"/>
  <c r="L334" i="30"/>
  <c r="I334" i="30"/>
  <c r="H334" i="30"/>
  <c r="B334" i="30"/>
  <c r="B335" i="30" s="1"/>
  <c r="B336" i="30" s="1"/>
  <c r="AB333" i="30"/>
  <c r="N333" i="30"/>
  <c r="L333" i="30"/>
  <c r="I333" i="30"/>
  <c r="H333" i="30"/>
  <c r="AB332" i="30"/>
  <c r="N332" i="30"/>
  <c r="L332" i="30"/>
  <c r="I332" i="30"/>
  <c r="H332" i="30"/>
  <c r="AB331" i="30"/>
  <c r="N331" i="30"/>
  <c r="L331" i="30"/>
  <c r="I331" i="30"/>
  <c r="H331" i="30"/>
  <c r="AB330" i="30"/>
  <c r="N330" i="30"/>
  <c r="L330" i="30"/>
  <c r="I330" i="30"/>
  <c r="H330" i="30"/>
  <c r="AB329" i="30"/>
  <c r="N329" i="30"/>
  <c r="L329" i="30"/>
  <c r="I329" i="30"/>
  <c r="H329" i="30"/>
  <c r="B329" i="30"/>
  <c r="B330" i="30" s="1"/>
  <c r="B331" i="30" s="1"/>
  <c r="B332" i="30" s="1"/>
  <c r="B333" i="30" s="1"/>
  <c r="AB328" i="30"/>
  <c r="N328" i="30"/>
  <c r="L328" i="30"/>
  <c r="I328" i="30"/>
  <c r="H328" i="30"/>
  <c r="AB327" i="30"/>
  <c r="N327" i="30"/>
  <c r="L327" i="30"/>
  <c r="I327" i="30"/>
  <c r="H327" i="30"/>
  <c r="AB326" i="30"/>
  <c r="N326" i="30"/>
  <c r="L326" i="30"/>
  <c r="I326" i="30"/>
  <c r="H326" i="30"/>
  <c r="AB325" i="30"/>
  <c r="N325" i="30"/>
  <c r="L325" i="30"/>
  <c r="I325" i="30"/>
  <c r="H325" i="30"/>
  <c r="B325" i="30"/>
  <c r="B326" i="30" s="1"/>
  <c r="B327" i="30" s="1"/>
  <c r="B328" i="30" s="1"/>
  <c r="AB324" i="30"/>
  <c r="N324" i="30"/>
  <c r="L324" i="30"/>
  <c r="I324" i="30"/>
  <c r="H324" i="30"/>
  <c r="B324" i="30"/>
  <c r="AB323" i="30"/>
  <c r="N323" i="30"/>
  <c r="L323" i="30"/>
  <c r="I323" i="30"/>
  <c r="H323" i="30"/>
  <c r="AB322" i="30"/>
  <c r="N322" i="30"/>
  <c r="L322" i="30"/>
  <c r="I322" i="30"/>
  <c r="H322" i="30"/>
  <c r="AB321" i="30"/>
  <c r="N321" i="30"/>
  <c r="L321" i="30"/>
  <c r="I321" i="30"/>
  <c r="H321" i="30"/>
  <c r="AB320" i="30"/>
  <c r="N320" i="30"/>
  <c r="L320" i="30"/>
  <c r="I320" i="30"/>
  <c r="H320" i="30"/>
  <c r="AB319" i="30"/>
  <c r="N319" i="30"/>
  <c r="L319" i="30"/>
  <c r="I319" i="30"/>
  <c r="H319" i="30"/>
  <c r="AB318" i="30"/>
  <c r="N318" i="30"/>
  <c r="L318" i="30"/>
  <c r="I318" i="30"/>
  <c r="H318" i="30"/>
  <c r="B318" i="30"/>
  <c r="B319" i="30" s="1"/>
  <c r="B320" i="30" s="1"/>
  <c r="B321" i="30" s="1"/>
  <c r="B322" i="30" s="1"/>
  <c r="B323" i="30" s="1"/>
  <c r="AB317" i="30"/>
  <c r="N317" i="30"/>
  <c r="L317" i="30"/>
  <c r="I317" i="30"/>
  <c r="H317" i="30"/>
  <c r="AB316" i="30"/>
  <c r="N316" i="30"/>
  <c r="L316" i="30"/>
  <c r="I316" i="30"/>
  <c r="H316" i="30"/>
  <c r="AB315" i="30"/>
  <c r="N315" i="30"/>
  <c r="L315" i="30"/>
  <c r="I315" i="30"/>
  <c r="H315" i="30"/>
  <c r="AB314" i="30"/>
  <c r="N314" i="30"/>
  <c r="L314" i="30"/>
  <c r="I314" i="30"/>
  <c r="H314" i="30"/>
  <c r="AB313" i="30"/>
  <c r="N313" i="30"/>
  <c r="L313" i="30"/>
  <c r="I313" i="30"/>
  <c r="H313" i="30"/>
  <c r="AB312" i="30"/>
  <c r="N312" i="30"/>
  <c r="L312" i="30"/>
  <c r="I312" i="30"/>
  <c r="H312" i="30"/>
  <c r="AB311" i="30"/>
  <c r="N311" i="30"/>
  <c r="L311" i="30"/>
  <c r="I311" i="30"/>
  <c r="H311" i="30"/>
  <c r="AB310" i="30"/>
  <c r="N310" i="30"/>
  <c r="L310" i="30"/>
  <c r="I310" i="30"/>
  <c r="H310" i="30"/>
  <c r="AB309" i="30"/>
  <c r="N309" i="30"/>
  <c r="L309" i="30"/>
  <c r="I309" i="30"/>
  <c r="H309" i="30"/>
  <c r="AB308" i="30"/>
  <c r="N308" i="30"/>
  <c r="L308" i="30"/>
  <c r="I308" i="30"/>
  <c r="H308" i="30"/>
  <c r="AB307" i="30"/>
  <c r="N307" i="30"/>
  <c r="L307" i="30"/>
  <c r="I307" i="30"/>
  <c r="H307" i="30"/>
  <c r="AB306" i="30"/>
  <c r="N306" i="30"/>
  <c r="L306" i="30"/>
  <c r="I306" i="30"/>
  <c r="H306" i="30"/>
  <c r="AB305" i="30"/>
  <c r="N305" i="30"/>
  <c r="L305" i="30"/>
  <c r="I305" i="30"/>
  <c r="H305" i="30"/>
  <c r="B305" i="30"/>
  <c r="B306" i="30" s="1"/>
  <c r="B307" i="30" s="1"/>
  <c r="B308" i="30" s="1"/>
  <c r="B309" i="30" s="1"/>
  <c r="B310" i="30" s="1"/>
  <c r="B311" i="30" s="1"/>
  <c r="B312" i="30" s="1"/>
  <c r="B313" i="30" s="1"/>
  <c r="B314" i="30" s="1"/>
  <c r="B315" i="30" s="1"/>
  <c r="B316" i="30" s="1"/>
  <c r="B317" i="30" s="1"/>
  <c r="AB304" i="30"/>
  <c r="N304" i="30"/>
  <c r="L304" i="30"/>
  <c r="I304" i="30"/>
  <c r="H304" i="30"/>
  <c r="AB303" i="30"/>
  <c r="N303" i="30"/>
  <c r="L303" i="30"/>
  <c r="I303" i="30"/>
  <c r="H303" i="30"/>
  <c r="B303" i="30"/>
  <c r="B304" i="30" s="1"/>
  <c r="AB302" i="30"/>
  <c r="N302" i="30"/>
  <c r="L302" i="30"/>
  <c r="I302" i="30"/>
  <c r="H302" i="30"/>
  <c r="AB301" i="30"/>
  <c r="N301" i="30"/>
  <c r="L301" i="30"/>
  <c r="I301" i="30"/>
  <c r="H301" i="30"/>
  <c r="AB300" i="30"/>
  <c r="N300" i="30"/>
  <c r="L300" i="30"/>
  <c r="I300" i="30"/>
  <c r="H300" i="30"/>
  <c r="AB299" i="30"/>
  <c r="N299" i="30"/>
  <c r="L299" i="30"/>
  <c r="I299" i="30"/>
  <c r="H299" i="30"/>
  <c r="AB298" i="30"/>
  <c r="N298" i="30"/>
  <c r="L298" i="30"/>
  <c r="I298" i="30"/>
  <c r="H298" i="30"/>
  <c r="AB297" i="30"/>
  <c r="N297" i="30"/>
  <c r="L297" i="30"/>
  <c r="I297" i="30"/>
  <c r="H297" i="30"/>
  <c r="AB296" i="30"/>
  <c r="N296" i="30"/>
  <c r="L296" i="30"/>
  <c r="I296" i="30"/>
  <c r="H296" i="30"/>
  <c r="AB295" i="30"/>
  <c r="N295" i="30"/>
  <c r="L295" i="30"/>
  <c r="I295" i="30"/>
  <c r="H295" i="30"/>
  <c r="AB294" i="30"/>
  <c r="N294" i="30"/>
  <c r="L294" i="30"/>
  <c r="I294" i="30"/>
  <c r="H294" i="30"/>
  <c r="AB293" i="30"/>
  <c r="N293" i="30"/>
  <c r="L293" i="30"/>
  <c r="I293" i="30"/>
  <c r="H293" i="30"/>
  <c r="AB292" i="30"/>
  <c r="N292" i="30"/>
  <c r="L292" i="30"/>
  <c r="I292" i="30"/>
  <c r="H292" i="30"/>
  <c r="AB291" i="30"/>
  <c r="N291" i="30"/>
  <c r="L291" i="30"/>
  <c r="I291" i="30"/>
  <c r="H291" i="30"/>
  <c r="AB290" i="30"/>
  <c r="N290" i="30"/>
  <c r="L290" i="30"/>
  <c r="I290" i="30"/>
  <c r="H290" i="30"/>
  <c r="AB289" i="30"/>
  <c r="N289" i="30"/>
  <c r="L289" i="30"/>
  <c r="I289" i="30"/>
  <c r="H289" i="30"/>
  <c r="AB288" i="30"/>
  <c r="N288" i="30"/>
  <c r="L288" i="30"/>
  <c r="I288" i="30"/>
  <c r="H288" i="30"/>
  <c r="B288" i="30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AB287" i="30"/>
  <c r="N287" i="30"/>
  <c r="L287" i="30"/>
  <c r="I287" i="30"/>
  <c r="H287" i="30"/>
  <c r="AB286" i="30"/>
  <c r="N286" i="30"/>
  <c r="L286" i="30"/>
  <c r="I286" i="30"/>
  <c r="H286" i="30"/>
  <c r="B286" i="30"/>
  <c r="B287" i="30" s="1"/>
  <c r="AB285" i="30"/>
  <c r="N285" i="30"/>
  <c r="L285" i="30"/>
  <c r="I285" i="30"/>
  <c r="H285" i="30"/>
  <c r="AB284" i="30"/>
  <c r="N284" i="30"/>
  <c r="L284" i="30"/>
  <c r="I284" i="30"/>
  <c r="H284" i="30"/>
  <c r="AB283" i="30"/>
  <c r="N283" i="30"/>
  <c r="L283" i="30"/>
  <c r="I283" i="30"/>
  <c r="H283" i="30"/>
  <c r="AB282" i="30"/>
  <c r="N282" i="30"/>
  <c r="L282" i="30"/>
  <c r="I282" i="30"/>
  <c r="H282" i="30"/>
  <c r="AB281" i="30"/>
  <c r="N281" i="30"/>
  <c r="L281" i="30"/>
  <c r="I281" i="30"/>
  <c r="H281" i="30"/>
  <c r="AB280" i="30"/>
  <c r="N280" i="30"/>
  <c r="L280" i="30"/>
  <c r="I280" i="30"/>
  <c r="H280" i="30"/>
  <c r="AB279" i="30"/>
  <c r="N279" i="30"/>
  <c r="L279" i="30"/>
  <c r="I279" i="30"/>
  <c r="H279" i="30"/>
  <c r="AB278" i="30"/>
  <c r="N278" i="30"/>
  <c r="L278" i="30"/>
  <c r="I278" i="30"/>
  <c r="H278" i="30"/>
  <c r="AB277" i="30"/>
  <c r="N277" i="30"/>
  <c r="L277" i="30"/>
  <c r="I277" i="30"/>
  <c r="H277" i="30"/>
  <c r="AB276" i="30"/>
  <c r="N276" i="30"/>
  <c r="L276" i="30"/>
  <c r="I276" i="30"/>
  <c r="H276" i="30"/>
  <c r="AB275" i="30"/>
  <c r="N275" i="30"/>
  <c r="L275" i="30"/>
  <c r="I275" i="30"/>
  <c r="H275" i="30"/>
  <c r="AB274" i="30"/>
  <c r="N274" i="30"/>
  <c r="L274" i="30"/>
  <c r="I274" i="30"/>
  <c r="H274" i="30"/>
  <c r="AB273" i="30"/>
  <c r="N273" i="30"/>
  <c r="L273" i="30"/>
  <c r="I273" i="30"/>
  <c r="H273" i="30"/>
  <c r="AB272" i="30"/>
  <c r="N272" i="30"/>
  <c r="L272" i="30"/>
  <c r="I272" i="30"/>
  <c r="H272" i="30"/>
  <c r="AB271" i="30"/>
  <c r="N271" i="30"/>
  <c r="L271" i="30"/>
  <c r="I271" i="30"/>
  <c r="H271" i="30"/>
  <c r="AB270" i="30"/>
  <c r="N270" i="30"/>
  <c r="L270" i="30"/>
  <c r="I270" i="30"/>
  <c r="H270" i="30"/>
  <c r="AB269" i="30"/>
  <c r="N269" i="30"/>
  <c r="L269" i="30"/>
  <c r="I269" i="30"/>
  <c r="H269" i="30"/>
  <c r="B269" i="30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AB268" i="30"/>
  <c r="N268" i="30"/>
  <c r="L268" i="30"/>
  <c r="I268" i="30"/>
  <c r="H268" i="30"/>
  <c r="AB267" i="30"/>
  <c r="N267" i="30"/>
  <c r="L267" i="30"/>
  <c r="I267" i="30"/>
  <c r="H267" i="30"/>
  <c r="AB266" i="30"/>
  <c r="N266" i="30"/>
  <c r="L266" i="30"/>
  <c r="I266" i="30"/>
  <c r="H266" i="30"/>
  <c r="AB265" i="30"/>
  <c r="N265" i="30"/>
  <c r="L265" i="30"/>
  <c r="I265" i="30"/>
  <c r="H265" i="30"/>
  <c r="AB264" i="30"/>
  <c r="N264" i="30"/>
  <c r="L264" i="30"/>
  <c r="I264" i="30"/>
  <c r="H264" i="30"/>
  <c r="AB263" i="30"/>
  <c r="N263" i="30"/>
  <c r="L263" i="30"/>
  <c r="I263" i="30"/>
  <c r="H263" i="30"/>
  <c r="AB262" i="30"/>
  <c r="N262" i="30"/>
  <c r="L262" i="30"/>
  <c r="I262" i="30"/>
  <c r="H262" i="30"/>
  <c r="AB261" i="30"/>
  <c r="N261" i="30"/>
  <c r="L261" i="30"/>
  <c r="I261" i="30"/>
  <c r="H261" i="30"/>
  <c r="AB260" i="30"/>
  <c r="N260" i="30"/>
  <c r="L260" i="30"/>
  <c r="I260" i="30"/>
  <c r="H260" i="30"/>
  <c r="AB259" i="30"/>
  <c r="N259" i="30"/>
  <c r="L259" i="30"/>
  <c r="I259" i="30"/>
  <c r="H259" i="30"/>
  <c r="AB258" i="30"/>
  <c r="N258" i="30"/>
  <c r="L258" i="30"/>
  <c r="I258" i="30"/>
  <c r="H258" i="30"/>
  <c r="AB257" i="30"/>
  <c r="N257" i="30"/>
  <c r="L257" i="30"/>
  <c r="I257" i="30"/>
  <c r="H257" i="30"/>
  <c r="AB256" i="30"/>
  <c r="N256" i="30"/>
  <c r="L256" i="30"/>
  <c r="I256" i="30"/>
  <c r="H256" i="30"/>
  <c r="AB255" i="30"/>
  <c r="N255" i="30"/>
  <c r="L255" i="30"/>
  <c r="I255" i="30"/>
  <c r="H255" i="30"/>
  <c r="AB254" i="30"/>
  <c r="N254" i="30"/>
  <c r="L254" i="30"/>
  <c r="I254" i="30"/>
  <c r="H254" i="30"/>
  <c r="AB253" i="30"/>
  <c r="N253" i="30"/>
  <c r="L253" i="30"/>
  <c r="I253" i="30"/>
  <c r="H253" i="30"/>
  <c r="AB252" i="30"/>
  <c r="N252" i="30"/>
  <c r="L252" i="30"/>
  <c r="I252" i="30"/>
  <c r="H252" i="30"/>
  <c r="AB251" i="30"/>
  <c r="N251" i="30"/>
  <c r="L251" i="30"/>
  <c r="I251" i="30"/>
  <c r="H251" i="30"/>
  <c r="AB250" i="30"/>
  <c r="N250" i="30"/>
  <c r="L250" i="30"/>
  <c r="I250" i="30"/>
  <c r="H250" i="30"/>
  <c r="AB249" i="30"/>
  <c r="N249" i="30"/>
  <c r="L249" i="30"/>
  <c r="I249" i="30"/>
  <c r="H249" i="30"/>
  <c r="AB248" i="30"/>
  <c r="N248" i="30"/>
  <c r="L248" i="30"/>
  <c r="I248" i="30"/>
  <c r="H248" i="30"/>
  <c r="AB247" i="30"/>
  <c r="N247" i="30"/>
  <c r="L247" i="30"/>
  <c r="I247" i="30"/>
  <c r="H247" i="30"/>
  <c r="AB246" i="30"/>
  <c r="N246" i="30"/>
  <c r="L246" i="30"/>
  <c r="I246" i="30"/>
  <c r="H246" i="30"/>
  <c r="B246" i="30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AB245" i="30"/>
  <c r="N245" i="30"/>
  <c r="L245" i="30"/>
  <c r="I245" i="30"/>
  <c r="H245" i="30"/>
  <c r="AB244" i="30"/>
  <c r="N244" i="30"/>
  <c r="L244" i="30"/>
  <c r="I244" i="30"/>
  <c r="H244" i="30"/>
  <c r="AB243" i="30"/>
  <c r="N243" i="30"/>
  <c r="L243" i="30"/>
  <c r="I243" i="30"/>
  <c r="H243" i="30"/>
  <c r="AB242" i="30"/>
  <c r="N242" i="30"/>
  <c r="L242" i="30"/>
  <c r="I242" i="30"/>
  <c r="H242" i="30"/>
  <c r="AB241" i="30"/>
  <c r="N241" i="30"/>
  <c r="L241" i="30"/>
  <c r="I241" i="30"/>
  <c r="H241" i="30"/>
  <c r="AB240" i="30"/>
  <c r="N240" i="30"/>
  <c r="L240" i="30"/>
  <c r="I240" i="30"/>
  <c r="H240" i="30"/>
  <c r="AB239" i="30"/>
  <c r="N239" i="30"/>
  <c r="L239" i="30"/>
  <c r="I239" i="30"/>
  <c r="H239" i="30"/>
  <c r="AB238" i="30"/>
  <c r="N238" i="30"/>
  <c r="L238" i="30"/>
  <c r="I238" i="30"/>
  <c r="H238" i="30"/>
  <c r="AB237" i="30"/>
  <c r="N237" i="30"/>
  <c r="L237" i="30"/>
  <c r="I237" i="30"/>
  <c r="H237" i="30"/>
  <c r="AB236" i="30"/>
  <c r="N236" i="30"/>
  <c r="L236" i="30"/>
  <c r="I236" i="30"/>
  <c r="H236" i="30"/>
  <c r="AB235" i="30"/>
  <c r="N235" i="30"/>
  <c r="L235" i="30"/>
  <c r="I235" i="30"/>
  <c r="H235" i="30"/>
  <c r="B235" i="30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AB234" i="30"/>
  <c r="N234" i="30"/>
  <c r="L234" i="30"/>
  <c r="I234" i="30"/>
  <c r="H234" i="30"/>
  <c r="AB233" i="30"/>
  <c r="N233" i="30"/>
  <c r="L233" i="30"/>
  <c r="I233" i="30"/>
  <c r="H233" i="30"/>
  <c r="AB232" i="30"/>
  <c r="N232" i="30"/>
  <c r="L232" i="30"/>
  <c r="I232" i="30"/>
  <c r="H232" i="30"/>
  <c r="AB231" i="30"/>
  <c r="N231" i="30"/>
  <c r="L231" i="30"/>
  <c r="I231" i="30"/>
  <c r="H231" i="30"/>
  <c r="AB230" i="30"/>
  <c r="N230" i="30"/>
  <c r="L230" i="30"/>
  <c r="I230" i="30"/>
  <c r="H230" i="30"/>
  <c r="AB229" i="30"/>
  <c r="N229" i="30"/>
  <c r="L229" i="30"/>
  <c r="I229" i="30"/>
  <c r="H229" i="30"/>
  <c r="AB228" i="30"/>
  <c r="N228" i="30"/>
  <c r="L228" i="30"/>
  <c r="I228" i="30"/>
  <c r="H228" i="30"/>
  <c r="AB227" i="30"/>
  <c r="N227" i="30"/>
  <c r="L227" i="30"/>
  <c r="I227" i="30"/>
  <c r="H227" i="30"/>
  <c r="AB226" i="30"/>
  <c r="N226" i="30"/>
  <c r="L226" i="30"/>
  <c r="I226" i="30"/>
  <c r="H226" i="30"/>
  <c r="AB225" i="30"/>
  <c r="N225" i="30"/>
  <c r="L225" i="30"/>
  <c r="I225" i="30"/>
  <c r="H225" i="30"/>
  <c r="AB224" i="30"/>
  <c r="N224" i="30"/>
  <c r="L224" i="30"/>
  <c r="I224" i="30"/>
  <c r="H224" i="30"/>
  <c r="B224" i="30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AB223" i="30"/>
  <c r="N223" i="30"/>
  <c r="L223" i="30"/>
  <c r="I223" i="30"/>
  <c r="H223" i="30"/>
  <c r="AB222" i="30"/>
  <c r="N222" i="30"/>
  <c r="L222" i="30"/>
  <c r="I222" i="30"/>
  <c r="H222" i="30"/>
  <c r="AB221" i="30"/>
  <c r="N221" i="30"/>
  <c r="L221" i="30"/>
  <c r="I221" i="30"/>
  <c r="H221" i="30"/>
  <c r="AB220" i="30"/>
  <c r="N220" i="30"/>
  <c r="L220" i="30"/>
  <c r="I220" i="30"/>
  <c r="H220" i="30"/>
  <c r="AB219" i="30"/>
  <c r="N219" i="30"/>
  <c r="L219" i="30"/>
  <c r="I219" i="30"/>
  <c r="H219" i="30"/>
  <c r="AB218" i="30"/>
  <c r="N218" i="30"/>
  <c r="L218" i="30"/>
  <c r="I218" i="30"/>
  <c r="H218" i="30"/>
  <c r="AB217" i="30"/>
  <c r="N217" i="30"/>
  <c r="L217" i="30"/>
  <c r="I217" i="30"/>
  <c r="H217" i="30"/>
  <c r="AB216" i="30"/>
  <c r="N216" i="30"/>
  <c r="L216" i="30"/>
  <c r="I216" i="30"/>
  <c r="H216" i="30"/>
  <c r="B216" i="30"/>
  <c r="B217" i="30" s="1"/>
  <c r="B218" i="30" s="1"/>
  <c r="B219" i="30" s="1"/>
  <c r="B220" i="30" s="1"/>
  <c r="B221" i="30" s="1"/>
  <c r="B222" i="30" s="1"/>
  <c r="B223" i="30" s="1"/>
  <c r="AB215" i="30"/>
  <c r="N215" i="30"/>
  <c r="L215" i="30"/>
  <c r="I215" i="30"/>
  <c r="H215" i="30"/>
  <c r="AB214" i="30"/>
  <c r="N214" i="30"/>
  <c r="L214" i="30"/>
  <c r="I214" i="30"/>
  <c r="H214" i="30"/>
  <c r="AB213" i="30"/>
  <c r="N213" i="30"/>
  <c r="L213" i="30"/>
  <c r="I213" i="30"/>
  <c r="H213" i="30"/>
  <c r="AB212" i="30"/>
  <c r="N212" i="30"/>
  <c r="L212" i="30"/>
  <c r="I212" i="30"/>
  <c r="H212" i="30"/>
  <c r="AB211" i="30"/>
  <c r="N211" i="30"/>
  <c r="L211" i="30"/>
  <c r="I211" i="30"/>
  <c r="H211" i="30"/>
  <c r="AB210" i="30"/>
  <c r="N210" i="30"/>
  <c r="L210" i="30"/>
  <c r="I210" i="30"/>
  <c r="H210" i="30"/>
  <c r="AB209" i="30"/>
  <c r="N209" i="30"/>
  <c r="L209" i="30"/>
  <c r="I209" i="30"/>
  <c r="H209" i="30"/>
  <c r="AB208" i="30"/>
  <c r="N208" i="30"/>
  <c r="L208" i="30"/>
  <c r="I208" i="30"/>
  <c r="H208" i="30"/>
  <c r="AB207" i="30"/>
  <c r="N207" i="30"/>
  <c r="L207" i="30"/>
  <c r="I207" i="30"/>
  <c r="H207" i="30"/>
  <c r="AB206" i="30"/>
  <c r="N206" i="30"/>
  <c r="L206" i="30"/>
  <c r="I206" i="30"/>
  <c r="H206" i="30"/>
  <c r="AB205" i="30"/>
  <c r="N205" i="30"/>
  <c r="L205" i="30"/>
  <c r="I205" i="30"/>
  <c r="H205" i="30"/>
  <c r="AB204" i="30"/>
  <c r="N204" i="30"/>
  <c r="L204" i="30"/>
  <c r="I204" i="30"/>
  <c r="H204" i="30"/>
  <c r="AB203" i="30"/>
  <c r="N203" i="30"/>
  <c r="L203" i="30"/>
  <c r="I203" i="30"/>
  <c r="H203" i="30"/>
  <c r="AB202" i="30"/>
  <c r="N202" i="30"/>
  <c r="L202" i="30"/>
  <c r="I202" i="30"/>
  <c r="H202" i="30"/>
  <c r="AB201" i="30"/>
  <c r="N201" i="30"/>
  <c r="L201" i="30"/>
  <c r="I201" i="30"/>
  <c r="H201" i="30"/>
  <c r="AB200" i="30"/>
  <c r="N200" i="30"/>
  <c r="L200" i="30"/>
  <c r="I200" i="30"/>
  <c r="H200" i="30"/>
  <c r="AB199" i="30"/>
  <c r="N199" i="30"/>
  <c r="L199" i="30"/>
  <c r="I199" i="30"/>
  <c r="H199" i="30"/>
  <c r="AB198" i="30"/>
  <c r="N198" i="30"/>
  <c r="L198" i="30"/>
  <c r="I198" i="30"/>
  <c r="H198" i="30"/>
  <c r="AB197" i="30"/>
  <c r="N197" i="30"/>
  <c r="L197" i="30"/>
  <c r="I197" i="30"/>
  <c r="H197" i="30"/>
  <c r="AB196" i="30"/>
  <c r="N196" i="30"/>
  <c r="L196" i="30"/>
  <c r="I196" i="30"/>
  <c r="H196" i="30"/>
  <c r="AB195" i="30"/>
  <c r="N195" i="30"/>
  <c r="L195" i="30"/>
  <c r="I195" i="30"/>
  <c r="H195" i="30"/>
  <c r="AB194" i="30"/>
  <c r="N194" i="30"/>
  <c r="L194" i="30"/>
  <c r="I194" i="30"/>
  <c r="H194" i="30"/>
  <c r="AB193" i="30"/>
  <c r="N193" i="30"/>
  <c r="L193" i="30"/>
  <c r="I193" i="30"/>
  <c r="H193" i="30"/>
  <c r="AB192" i="30"/>
  <c r="N192" i="30"/>
  <c r="L192" i="30"/>
  <c r="I192" i="30"/>
  <c r="H192" i="30"/>
  <c r="AB191" i="30"/>
  <c r="N191" i="30"/>
  <c r="L191" i="30"/>
  <c r="I191" i="30"/>
  <c r="H191" i="30"/>
  <c r="AB190" i="30"/>
  <c r="N190" i="30"/>
  <c r="L190" i="30"/>
  <c r="I190" i="30"/>
  <c r="H190" i="30"/>
  <c r="AB189" i="30"/>
  <c r="N189" i="30"/>
  <c r="L189" i="30"/>
  <c r="I189" i="30"/>
  <c r="H189" i="30"/>
  <c r="AB188" i="30"/>
  <c r="N188" i="30"/>
  <c r="L188" i="30"/>
  <c r="I188" i="30"/>
  <c r="H188" i="30"/>
  <c r="AB187" i="30"/>
  <c r="N187" i="30"/>
  <c r="L187" i="30"/>
  <c r="I187" i="30"/>
  <c r="H187" i="30"/>
  <c r="AB186" i="30"/>
  <c r="N186" i="30"/>
  <c r="L186" i="30"/>
  <c r="I186" i="30"/>
  <c r="H186" i="30"/>
  <c r="AB185" i="30"/>
  <c r="N185" i="30"/>
  <c r="L185" i="30"/>
  <c r="I185" i="30"/>
  <c r="H185" i="30"/>
  <c r="AB184" i="30"/>
  <c r="N184" i="30"/>
  <c r="L184" i="30"/>
  <c r="I184" i="30"/>
  <c r="H184" i="30"/>
  <c r="AB183" i="30"/>
  <c r="N183" i="30"/>
  <c r="L183" i="30"/>
  <c r="I183" i="30"/>
  <c r="H183" i="30"/>
  <c r="AB182" i="30"/>
  <c r="N182" i="30"/>
  <c r="L182" i="30"/>
  <c r="I182" i="30"/>
  <c r="H182" i="30"/>
  <c r="AB181" i="30"/>
  <c r="N181" i="30"/>
  <c r="L181" i="30"/>
  <c r="I181" i="30"/>
  <c r="H181" i="30"/>
  <c r="AB180" i="30"/>
  <c r="N180" i="30"/>
  <c r="L180" i="30"/>
  <c r="I180" i="30"/>
  <c r="H180" i="30"/>
  <c r="AB179" i="30"/>
  <c r="N179" i="30"/>
  <c r="L179" i="30"/>
  <c r="I179" i="30"/>
  <c r="H179" i="30"/>
  <c r="AB178" i="30"/>
  <c r="N178" i="30"/>
  <c r="L178" i="30"/>
  <c r="I178" i="30"/>
  <c r="H178" i="30"/>
  <c r="AB177" i="30"/>
  <c r="N177" i="30"/>
  <c r="L177" i="30"/>
  <c r="I177" i="30"/>
  <c r="H177" i="30"/>
  <c r="AB176" i="30"/>
  <c r="N176" i="30"/>
  <c r="L176" i="30"/>
  <c r="I176" i="30"/>
  <c r="H176" i="30"/>
  <c r="AB175" i="30"/>
  <c r="N175" i="30"/>
  <c r="L175" i="30"/>
  <c r="I175" i="30"/>
  <c r="H175" i="30"/>
  <c r="AB174" i="30"/>
  <c r="N174" i="30"/>
  <c r="L174" i="30"/>
  <c r="I174" i="30"/>
  <c r="H174" i="30"/>
  <c r="AB173" i="30"/>
  <c r="N173" i="30"/>
  <c r="L173" i="30"/>
  <c r="I173" i="30"/>
  <c r="H173" i="30"/>
  <c r="AB172" i="30"/>
  <c r="N172" i="30"/>
  <c r="L172" i="30"/>
  <c r="I172" i="30"/>
  <c r="H172" i="30"/>
  <c r="AB171" i="30"/>
  <c r="N171" i="30"/>
  <c r="L171" i="30"/>
  <c r="I171" i="30"/>
  <c r="H171" i="30"/>
  <c r="AB170" i="30"/>
  <c r="N170" i="30"/>
  <c r="L170" i="30"/>
  <c r="I170" i="30"/>
  <c r="H170" i="30"/>
  <c r="AB169" i="30"/>
  <c r="N169" i="30"/>
  <c r="L169" i="30"/>
  <c r="I169" i="30"/>
  <c r="H169" i="30"/>
  <c r="AB168" i="30"/>
  <c r="N168" i="30"/>
  <c r="L168" i="30"/>
  <c r="I168" i="30"/>
  <c r="H168" i="30"/>
  <c r="AB167" i="30"/>
  <c r="N167" i="30"/>
  <c r="L167" i="30"/>
  <c r="I167" i="30"/>
  <c r="H167" i="30"/>
  <c r="AB166" i="30"/>
  <c r="N166" i="30"/>
  <c r="L166" i="30"/>
  <c r="I166" i="30"/>
  <c r="H166" i="30"/>
  <c r="AB165" i="30"/>
  <c r="N165" i="30"/>
  <c r="L165" i="30"/>
  <c r="I165" i="30"/>
  <c r="H165" i="30"/>
  <c r="AB164" i="30"/>
  <c r="N164" i="30"/>
  <c r="L164" i="30"/>
  <c r="I164" i="30"/>
  <c r="H164" i="30"/>
  <c r="AB163" i="30"/>
  <c r="N163" i="30"/>
  <c r="L163" i="30"/>
  <c r="I163" i="30"/>
  <c r="H163" i="30"/>
  <c r="AB162" i="30"/>
  <c r="N162" i="30"/>
  <c r="L162" i="30"/>
  <c r="I162" i="30"/>
  <c r="H162" i="30"/>
  <c r="AB161" i="30"/>
  <c r="N161" i="30"/>
  <c r="L161" i="30"/>
  <c r="I161" i="30"/>
  <c r="H161" i="30"/>
  <c r="AB160" i="30"/>
  <c r="N160" i="30"/>
  <c r="L160" i="30"/>
  <c r="I160" i="30"/>
  <c r="H160" i="30"/>
  <c r="AB159" i="30"/>
  <c r="N159" i="30"/>
  <c r="L159" i="30"/>
  <c r="I159" i="30"/>
  <c r="H159" i="30"/>
  <c r="AB158" i="30"/>
  <c r="N158" i="30"/>
  <c r="L158" i="30"/>
  <c r="I158" i="30"/>
  <c r="H158" i="30"/>
  <c r="AB157" i="30"/>
  <c r="N157" i="30"/>
  <c r="L157" i="30"/>
  <c r="I157" i="30"/>
  <c r="H157" i="30"/>
  <c r="AB156" i="30"/>
  <c r="N156" i="30"/>
  <c r="L156" i="30"/>
  <c r="I156" i="30"/>
  <c r="H156" i="30"/>
  <c r="AB155" i="30"/>
  <c r="N155" i="30"/>
  <c r="L155" i="30"/>
  <c r="I155" i="30"/>
  <c r="H155" i="30"/>
  <c r="AB154" i="30"/>
  <c r="N154" i="30"/>
  <c r="L154" i="30"/>
  <c r="I154" i="30"/>
  <c r="H154" i="30"/>
  <c r="AB153" i="30"/>
  <c r="N153" i="30"/>
  <c r="L153" i="30"/>
  <c r="I153" i="30"/>
  <c r="H153" i="30"/>
  <c r="AB152" i="30"/>
  <c r="N152" i="30"/>
  <c r="L152" i="30"/>
  <c r="I152" i="30"/>
  <c r="H152" i="30"/>
  <c r="AB151" i="30"/>
  <c r="N151" i="30"/>
  <c r="L151" i="30"/>
  <c r="I151" i="30"/>
  <c r="H151" i="30"/>
  <c r="AB150" i="30"/>
  <c r="N150" i="30"/>
  <c r="L150" i="30"/>
  <c r="I150" i="30"/>
  <c r="H150" i="30"/>
  <c r="AB149" i="30"/>
  <c r="N149" i="30"/>
  <c r="L149" i="30"/>
  <c r="I149" i="30"/>
  <c r="H149" i="30"/>
  <c r="AB148" i="30"/>
  <c r="N148" i="30"/>
  <c r="L148" i="30"/>
  <c r="I148" i="30"/>
  <c r="H148" i="30"/>
  <c r="AB147" i="30"/>
  <c r="N147" i="30"/>
  <c r="L147" i="30"/>
  <c r="I147" i="30"/>
  <c r="H147" i="30"/>
  <c r="AB146" i="30"/>
  <c r="N146" i="30"/>
  <c r="L146" i="30"/>
  <c r="I146" i="30"/>
  <c r="H146" i="30"/>
  <c r="AB145" i="30"/>
  <c r="N145" i="30"/>
  <c r="L145" i="30"/>
  <c r="I145" i="30"/>
  <c r="H145" i="30"/>
  <c r="AB144" i="30"/>
  <c r="N144" i="30"/>
  <c r="L144" i="30"/>
  <c r="I144" i="30"/>
  <c r="H144" i="30"/>
  <c r="AB143" i="30"/>
  <c r="N143" i="30"/>
  <c r="L143" i="30"/>
  <c r="I143" i="30"/>
  <c r="H143" i="30"/>
  <c r="AB142" i="30"/>
  <c r="N142" i="30"/>
  <c r="L142" i="30"/>
  <c r="I142" i="30"/>
  <c r="H142" i="30"/>
  <c r="AB141" i="30"/>
  <c r="N141" i="30"/>
  <c r="L141" i="30"/>
  <c r="I141" i="30"/>
  <c r="H141" i="30"/>
  <c r="AB140" i="30"/>
  <c r="N140" i="30"/>
  <c r="L140" i="30"/>
  <c r="I140" i="30"/>
  <c r="H140" i="30"/>
  <c r="AB139" i="30"/>
  <c r="N139" i="30"/>
  <c r="L139" i="30"/>
  <c r="I139" i="30"/>
  <c r="H139" i="30"/>
  <c r="AB138" i="30"/>
  <c r="N138" i="30"/>
  <c r="L138" i="30"/>
  <c r="I138" i="30"/>
  <c r="H138" i="30"/>
  <c r="AB137" i="30"/>
  <c r="N137" i="30"/>
  <c r="L137" i="30"/>
  <c r="I137" i="30"/>
  <c r="H137" i="30"/>
  <c r="AB136" i="30"/>
  <c r="N136" i="30"/>
  <c r="L136" i="30"/>
  <c r="I136" i="30"/>
  <c r="H136" i="30"/>
  <c r="AB135" i="30"/>
  <c r="N135" i="30"/>
  <c r="L135" i="30"/>
  <c r="I135" i="30"/>
  <c r="H135" i="30"/>
  <c r="AB134" i="30"/>
  <c r="N134" i="30"/>
  <c r="L134" i="30"/>
  <c r="I134" i="30"/>
  <c r="H134" i="30"/>
  <c r="AB133" i="30"/>
  <c r="N133" i="30"/>
  <c r="L133" i="30"/>
  <c r="I133" i="30"/>
  <c r="H133" i="30"/>
  <c r="AB132" i="30"/>
  <c r="N132" i="30"/>
  <c r="L132" i="30"/>
  <c r="I132" i="30"/>
  <c r="H132" i="30"/>
  <c r="AB131" i="30"/>
  <c r="N131" i="30"/>
  <c r="L131" i="30"/>
  <c r="I131" i="30"/>
  <c r="H131" i="30"/>
  <c r="AB130" i="30"/>
  <c r="N130" i="30"/>
  <c r="L130" i="30"/>
  <c r="I130" i="30"/>
  <c r="H130" i="30"/>
  <c r="AB129" i="30"/>
  <c r="N129" i="30"/>
  <c r="L129" i="30"/>
  <c r="I129" i="30"/>
  <c r="H129" i="30"/>
  <c r="AB128" i="30"/>
  <c r="N128" i="30"/>
  <c r="L128" i="30"/>
  <c r="I128" i="30"/>
  <c r="H128" i="30"/>
  <c r="AB127" i="30"/>
  <c r="N127" i="30"/>
  <c r="L127" i="30"/>
  <c r="I127" i="30"/>
  <c r="H127" i="30"/>
  <c r="AB126" i="30"/>
  <c r="N126" i="30"/>
  <c r="L126" i="30"/>
  <c r="I126" i="30"/>
  <c r="H126" i="30"/>
  <c r="AB125" i="30"/>
  <c r="N125" i="30"/>
  <c r="L125" i="30"/>
  <c r="I125" i="30"/>
  <c r="H125" i="30"/>
  <c r="AB124" i="30"/>
  <c r="N124" i="30"/>
  <c r="L124" i="30"/>
  <c r="I124" i="30"/>
  <c r="H124" i="30"/>
  <c r="AB123" i="30"/>
  <c r="N123" i="30"/>
  <c r="L123" i="30"/>
  <c r="I123" i="30"/>
  <c r="H123" i="30"/>
  <c r="AB122" i="30"/>
  <c r="N122" i="30"/>
  <c r="L122" i="30"/>
  <c r="I122" i="30"/>
  <c r="H122" i="30"/>
  <c r="AB121" i="30"/>
  <c r="N121" i="30"/>
  <c r="L121" i="30"/>
  <c r="I121" i="30"/>
  <c r="H121" i="30"/>
  <c r="AB120" i="30"/>
  <c r="N120" i="30"/>
  <c r="L120" i="30"/>
  <c r="I120" i="30"/>
  <c r="H120" i="30"/>
  <c r="AB119" i="30"/>
  <c r="N119" i="30"/>
  <c r="L119" i="30"/>
  <c r="I119" i="30"/>
  <c r="H119" i="30"/>
  <c r="AB118" i="30"/>
  <c r="N118" i="30"/>
  <c r="L118" i="30"/>
  <c r="I118" i="30"/>
  <c r="H118" i="30"/>
  <c r="AB117" i="30"/>
  <c r="N117" i="30"/>
  <c r="L117" i="30"/>
  <c r="I117" i="30"/>
  <c r="H117" i="30"/>
  <c r="AB116" i="30"/>
  <c r="N116" i="30"/>
  <c r="L116" i="30"/>
  <c r="I116" i="30"/>
  <c r="H116" i="30"/>
  <c r="AB115" i="30"/>
  <c r="N115" i="30"/>
  <c r="L115" i="30"/>
  <c r="I115" i="30"/>
  <c r="H115" i="30"/>
  <c r="AB114" i="30"/>
  <c r="N114" i="30"/>
  <c r="L114" i="30"/>
  <c r="I114" i="30"/>
  <c r="H114" i="30"/>
  <c r="AB113" i="30"/>
  <c r="N113" i="30"/>
  <c r="L113" i="30"/>
  <c r="I113" i="30"/>
  <c r="H113" i="30"/>
  <c r="AB112" i="30"/>
  <c r="N112" i="30"/>
  <c r="L112" i="30"/>
  <c r="I112" i="30"/>
  <c r="H112" i="30"/>
  <c r="AB111" i="30"/>
  <c r="N111" i="30"/>
  <c r="L111" i="30"/>
  <c r="I111" i="30"/>
  <c r="H111" i="30"/>
  <c r="AB110" i="30"/>
  <c r="N110" i="30"/>
  <c r="L110" i="30"/>
  <c r="I110" i="30"/>
  <c r="H110" i="30"/>
  <c r="AB109" i="30"/>
  <c r="N109" i="30"/>
  <c r="L109" i="30"/>
  <c r="I109" i="30"/>
  <c r="H109" i="30"/>
  <c r="AB108" i="30"/>
  <c r="N108" i="30"/>
  <c r="L108" i="30"/>
  <c r="I108" i="30"/>
  <c r="H108" i="30"/>
  <c r="AB107" i="30"/>
  <c r="N107" i="30"/>
  <c r="L107" i="30"/>
  <c r="I107" i="30"/>
  <c r="H107" i="30"/>
  <c r="B107" i="30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AB106" i="30"/>
  <c r="N106" i="30"/>
  <c r="L106" i="30"/>
  <c r="I106" i="30"/>
  <c r="H106" i="30"/>
  <c r="AB105" i="30"/>
  <c r="N105" i="30"/>
  <c r="L105" i="30"/>
  <c r="I105" i="30"/>
  <c r="H105" i="30"/>
  <c r="AB104" i="30"/>
  <c r="N104" i="30"/>
  <c r="L104" i="30"/>
  <c r="I104" i="30"/>
  <c r="H104" i="30"/>
  <c r="AB103" i="30"/>
  <c r="N103" i="30"/>
  <c r="L103" i="30"/>
  <c r="I103" i="30"/>
  <c r="H103" i="30"/>
  <c r="B103" i="30"/>
  <c r="AB102" i="30"/>
  <c r="N102" i="30"/>
  <c r="L102" i="30"/>
  <c r="I102" i="30"/>
  <c r="H102" i="30"/>
  <c r="AB101" i="30"/>
  <c r="N101" i="30"/>
  <c r="L101" i="30"/>
  <c r="I101" i="30"/>
  <c r="H101" i="30"/>
  <c r="AB100" i="30"/>
  <c r="N100" i="30"/>
  <c r="L100" i="30"/>
  <c r="I100" i="30"/>
  <c r="H100" i="30"/>
  <c r="AB99" i="30"/>
  <c r="N99" i="30"/>
  <c r="L99" i="30"/>
  <c r="I99" i="30"/>
  <c r="H99" i="30"/>
  <c r="AB98" i="30"/>
  <c r="N98" i="30"/>
  <c r="L98" i="30"/>
  <c r="I98" i="30"/>
  <c r="H98" i="30"/>
  <c r="AB97" i="30"/>
  <c r="N97" i="30"/>
  <c r="L97" i="30"/>
  <c r="I97" i="30"/>
  <c r="H97" i="30"/>
  <c r="B97" i="30"/>
  <c r="B98" i="30" s="1"/>
  <c r="AB96" i="30"/>
  <c r="N96" i="30"/>
  <c r="L96" i="30"/>
  <c r="I96" i="30"/>
  <c r="H96" i="30"/>
  <c r="AB95" i="30"/>
  <c r="N95" i="30"/>
  <c r="L95" i="30"/>
  <c r="I95" i="30"/>
  <c r="H95" i="30"/>
  <c r="AB94" i="30"/>
  <c r="N94" i="30"/>
  <c r="L94" i="30"/>
  <c r="I94" i="30"/>
  <c r="H94" i="30"/>
  <c r="AB93" i="30"/>
  <c r="N93" i="30"/>
  <c r="L93" i="30"/>
  <c r="I93" i="30"/>
  <c r="H93" i="30"/>
  <c r="AB92" i="30"/>
  <c r="N92" i="30"/>
  <c r="L92" i="30"/>
  <c r="I92" i="30"/>
  <c r="H92" i="30"/>
  <c r="AB91" i="30"/>
  <c r="N91" i="30"/>
  <c r="L91" i="30"/>
  <c r="I91" i="30"/>
  <c r="H91" i="30"/>
  <c r="AB90" i="30"/>
  <c r="N90" i="30"/>
  <c r="L90" i="30"/>
  <c r="I90" i="30"/>
  <c r="H90" i="30"/>
  <c r="AB89" i="30"/>
  <c r="N89" i="30"/>
  <c r="L89" i="30"/>
  <c r="I89" i="30"/>
  <c r="H89" i="30"/>
  <c r="AB88" i="30"/>
  <c r="N88" i="30"/>
  <c r="L88" i="30"/>
  <c r="I88" i="30"/>
  <c r="H88" i="30"/>
  <c r="AB87" i="30"/>
  <c r="N87" i="30"/>
  <c r="L87" i="30"/>
  <c r="I87" i="30"/>
  <c r="H87" i="30"/>
  <c r="AB86" i="30"/>
  <c r="N86" i="30"/>
  <c r="L86" i="30"/>
  <c r="I86" i="30"/>
  <c r="H86" i="30"/>
  <c r="AB85" i="30"/>
  <c r="N85" i="30"/>
  <c r="L85" i="30"/>
  <c r="I85" i="30"/>
  <c r="H85" i="30"/>
  <c r="AB84" i="30"/>
  <c r="N84" i="30"/>
  <c r="L84" i="30"/>
  <c r="I84" i="30"/>
  <c r="H84" i="30"/>
  <c r="AB83" i="30"/>
  <c r="N83" i="30"/>
  <c r="L83" i="30"/>
  <c r="I83" i="30"/>
  <c r="H83" i="30"/>
  <c r="AB82" i="30"/>
  <c r="N82" i="30"/>
  <c r="L82" i="30"/>
  <c r="I82" i="30"/>
  <c r="H82" i="30"/>
  <c r="AB81" i="30"/>
  <c r="N81" i="30"/>
  <c r="L81" i="30"/>
  <c r="I81" i="30"/>
  <c r="H81" i="30"/>
  <c r="AB80" i="30"/>
  <c r="N80" i="30"/>
  <c r="L80" i="30"/>
  <c r="I80" i="30"/>
  <c r="H80" i="30"/>
  <c r="AB79" i="30"/>
  <c r="N79" i="30"/>
  <c r="L79" i="30"/>
  <c r="I79" i="30"/>
  <c r="H79" i="30"/>
  <c r="AB78" i="30"/>
  <c r="N78" i="30"/>
  <c r="L78" i="30"/>
  <c r="I78" i="30"/>
  <c r="H78" i="30"/>
  <c r="AB77" i="30"/>
  <c r="N77" i="30"/>
  <c r="L77" i="30"/>
  <c r="I77" i="30"/>
  <c r="H77" i="30"/>
  <c r="AB76" i="30"/>
  <c r="N76" i="30"/>
  <c r="L76" i="30"/>
  <c r="I76" i="30"/>
  <c r="H76" i="30"/>
  <c r="AB75" i="30"/>
  <c r="N75" i="30"/>
  <c r="L75" i="30"/>
  <c r="I75" i="30"/>
  <c r="H75" i="30"/>
  <c r="AB74" i="30"/>
  <c r="N74" i="30"/>
  <c r="L74" i="30"/>
  <c r="I74" i="30"/>
  <c r="H74" i="30"/>
  <c r="AB73" i="30"/>
  <c r="N73" i="30"/>
  <c r="L73" i="30"/>
  <c r="I73" i="30"/>
  <c r="H73" i="30"/>
  <c r="AB72" i="30"/>
  <c r="N72" i="30"/>
  <c r="L72" i="30"/>
  <c r="I72" i="30"/>
  <c r="H72" i="30"/>
  <c r="AB71" i="30"/>
  <c r="N71" i="30"/>
  <c r="L71" i="30"/>
  <c r="I71" i="30"/>
  <c r="H71" i="30"/>
  <c r="AB70" i="30"/>
  <c r="N70" i="30"/>
  <c r="L70" i="30"/>
  <c r="I70" i="30"/>
  <c r="H70" i="30"/>
  <c r="B70" i="30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AB69" i="30"/>
  <c r="N69" i="30"/>
  <c r="L69" i="30"/>
  <c r="I69" i="30"/>
  <c r="H69" i="30"/>
  <c r="AB68" i="30"/>
  <c r="N68" i="30"/>
  <c r="L68" i="30"/>
  <c r="I68" i="30"/>
  <c r="H68" i="30"/>
  <c r="AB67" i="30"/>
  <c r="N67" i="30"/>
  <c r="L67" i="30"/>
  <c r="I67" i="30"/>
  <c r="H67" i="30"/>
  <c r="AB66" i="30"/>
  <c r="N66" i="30"/>
  <c r="L66" i="30"/>
  <c r="I66" i="30"/>
  <c r="H66" i="30"/>
  <c r="AB65" i="30"/>
  <c r="N65" i="30"/>
  <c r="L65" i="30"/>
  <c r="I65" i="30"/>
  <c r="H65" i="30"/>
  <c r="B65" i="30"/>
  <c r="B66" i="30" s="1"/>
  <c r="B67" i="30" s="1"/>
  <c r="AB64" i="30"/>
  <c r="N64" i="30"/>
  <c r="L64" i="30"/>
  <c r="I64" i="30"/>
  <c r="H64" i="30"/>
  <c r="AB63" i="30"/>
  <c r="N63" i="30"/>
  <c r="L63" i="30"/>
  <c r="I63" i="30"/>
  <c r="H63" i="30"/>
  <c r="AB62" i="30"/>
  <c r="N62" i="30"/>
  <c r="L62" i="30"/>
  <c r="I62" i="30"/>
  <c r="H62" i="30"/>
  <c r="AB61" i="30"/>
  <c r="N61" i="30"/>
  <c r="L61" i="30"/>
  <c r="I61" i="30"/>
  <c r="H61" i="30"/>
  <c r="AB60" i="30"/>
  <c r="N60" i="30"/>
  <c r="L60" i="30"/>
  <c r="I60" i="30"/>
  <c r="H60" i="30"/>
  <c r="AB59" i="30"/>
  <c r="N59" i="30"/>
  <c r="L59" i="30"/>
  <c r="I59" i="30"/>
  <c r="H59" i="30"/>
  <c r="AB58" i="30"/>
  <c r="N58" i="30"/>
  <c r="L58" i="30"/>
  <c r="I58" i="30"/>
  <c r="H58" i="30"/>
  <c r="AB57" i="30"/>
  <c r="N57" i="30"/>
  <c r="L57" i="30"/>
  <c r="I57" i="30"/>
  <c r="H57" i="30"/>
  <c r="B57" i="30"/>
  <c r="B58" i="30" s="1"/>
  <c r="B59" i="30" s="1"/>
  <c r="B60" i="30" s="1"/>
  <c r="AB56" i="30"/>
  <c r="N56" i="30"/>
  <c r="L56" i="30"/>
  <c r="I56" i="30"/>
  <c r="H56" i="30"/>
  <c r="AB55" i="30"/>
  <c r="N55" i="30"/>
  <c r="L55" i="30"/>
  <c r="I55" i="30"/>
  <c r="H55" i="30"/>
  <c r="AB54" i="30"/>
  <c r="N54" i="30"/>
  <c r="L54" i="30"/>
  <c r="I54" i="30"/>
  <c r="H54" i="30"/>
  <c r="AB53" i="30"/>
  <c r="N53" i="30"/>
  <c r="L53" i="30"/>
  <c r="I53" i="30"/>
  <c r="H53" i="30"/>
  <c r="AB52" i="30"/>
  <c r="N52" i="30"/>
  <c r="L52" i="30"/>
  <c r="I52" i="30"/>
  <c r="H52" i="30"/>
  <c r="AB51" i="30"/>
  <c r="N51" i="30"/>
  <c r="L51" i="30"/>
  <c r="I51" i="30"/>
  <c r="H51" i="30"/>
  <c r="AB50" i="30"/>
  <c r="N50" i="30"/>
  <c r="L50" i="30"/>
  <c r="I50" i="30"/>
  <c r="H50" i="30"/>
  <c r="AB49" i="30"/>
  <c r="N49" i="30"/>
  <c r="L49" i="30"/>
  <c r="I49" i="30"/>
  <c r="H49" i="30"/>
  <c r="AB48" i="30"/>
  <c r="N48" i="30"/>
  <c r="L48" i="30"/>
  <c r="I48" i="30"/>
  <c r="H48" i="30"/>
  <c r="AB47" i="30"/>
  <c r="N47" i="30"/>
  <c r="L47" i="30"/>
  <c r="I47" i="30"/>
  <c r="H47" i="30"/>
  <c r="AB46" i="30"/>
  <c r="N46" i="30"/>
  <c r="L46" i="30"/>
  <c r="I46" i="30"/>
  <c r="H46" i="30"/>
  <c r="AB45" i="30"/>
  <c r="N45" i="30"/>
  <c r="L45" i="30"/>
  <c r="I45" i="30"/>
  <c r="H45" i="30"/>
  <c r="AB44" i="30"/>
  <c r="N44" i="30"/>
  <c r="L44" i="30"/>
  <c r="I44" i="30"/>
  <c r="H44" i="30"/>
  <c r="AB43" i="30"/>
  <c r="N43" i="30"/>
  <c r="L43" i="30"/>
  <c r="I43" i="30"/>
  <c r="H43" i="30"/>
  <c r="AB42" i="30"/>
  <c r="N42" i="30"/>
  <c r="L42" i="30"/>
  <c r="I42" i="30"/>
  <c r="H42" i="30"/>
  <c r="B42" i="30"/>
  <c r="B43" i="30" s="1"/>
  <c r="B44" i="30" s="1"/>
  <c r="B45" i="30" s="1"/>
  <c r="B46" i="30" s="1"/>
  <c r="B47" i="30" s="1"/>
  <c r="B48" i="30" s="1"/>
  <c r="B49" i="30" s="1"/>
  <c r="B50" i="30" s="1"/>
  <c r="B51" i="30" s="1"/>
  <c r="AB41" i="30"/>
  <c r="N41" i="30"/>
  <c r="L41" i="30"/>
  <c r="I41" i="30"/>
  <c r="H41" i="30"/>
  <c r="AB40" i="30"/>
  <c r="N40" i="30"/>
  <c r="L40" i="30"/>
  <c r="I40" i="30"/>
  <c r="H40" i="30"/>
  <c r="AB39" i="30"/>
  <c r="N39" i="30"/>
  <c r="L39" i="30"/>
  <c r="I39" i="30"/>
  <c r="H39" i="30"/>
  <c r="AB38" i="30"/>
  <c r="N38" i="30"/>
  <c r="L38" i="30"/>
  <c r="I38" i="30"/>
  <c r="H38" i="30"/>
  <c r="AB37" i="30"/>
  <c r="N37" i="30"/>
  <c r="L37" i="30"/>
  <c r="I37" i="30"/>
  <c r="H37" i="30"/>
  <c r="AB36" i="30"/>
  <c r="N36" i="30"/>
  <c r="L36" i="30"/>
  <c r="I36" i="30"/>
  <c r="H36" i="30"/>
  <c r="AB35" i="30"/>
  <c r="N35" i="30"/>
  <c r="L35" i="30"/>
  <c r="I35" i="30"/>
  <c r="H35" i="30"/>
  <c r="AB34" i="30"/>
  <c r="N34" i="30"/>
  <c r="L34" i="30"/>
  <c r="I34" i="30"/>
  <c r="H34" i="30"/>
  <c r="AB33" i="30"/>
  <c r="N33" i="30"/>
  <c r="L33" i="30"/>
  <c r="I33" i="30"/>
  <c r="H33" i="30"/>
  <c r="AB32" i="30"/>
  <c r="N32" i="30"/>
  <c r="L32" i="30"/>
  <c r="I32" i="30"/>
  <c r="H32" i="30"/>
  <c r="AB31" i="30"/>
  <c r="N31" i="30"/>
  <c r="L31" i="30"/>
  <c r="I31" i="30"/>
  <c r="H31" i="30"/>
  <c r="AB30" i="30"/>
  <c r="N30" i="30"/>
  <c r="L30" i="30"/>
  <c r="I30" i="30"/>
  <c r="H30" i="30"/>
  <c r="AB29" i="30"/>
  <c r="N29" i="30"/>
  <c r="L29" i="30"/>
  <c r="I29" i="30"/>
  <c r="H29" i="30"/>
  <c r="AB28" i="30"/>
  <c r="N28" i="30"/>
  <c r="L28" i="30"/>
  <c r="I28" i="30"/>
  <c r="H28" i="30"/>
  <c r="AB27" i="30"/>
  <c r="N27" i="30"/>
  <c r="L27" i="30"/>
  <c r="I27" i="30"/>
  <c r="H27" i="30"/>
  <c r="AB26" i="30"/>
  <c r="N26" i="30"/>
  <c r="L26" i="30"/>
  <c r="I26" i="30"/>
  <c r="H26" i="30"/>
  <c r="AB25" i="30"/>
  <c r="N25" i="30"/>
  <c r="L25" i="30"/>
  <c r="I25" i="30"/>
  <c r="H25" i="30"/>
  <c r="B25" i="30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AB24" i="30"/>
  <c r="N24" i="30"/>
  <c r="L24" i="30"/>
  <c r="I24" i="30"/>
  <c r="H24" i="30"/>
  <c r="AB23" i="30"/>
  <c r="N23" i="30"/>
  <c r="L23" i="30"/>
  <c r="I23" i="30"/>
  <c r="H23" i="30"/>
  <c r="AB22" i="30"/>
  <c r="N22" i="30"/>
  <c r="L22" i="30"/>
  <c r="I22" i="30"/>
  <c r="H22" i="30"/>
  <c r="AB21" i="30"/>
  <c r="N21" i="30"/>
  <c r="L21" i="30"/>
  <c r="I21" i="30"/>
  <c r="H21" i="30"/>
  <c r="AB20" i="30"/>
  <c r="X20" i="30"/>
  <c r="N20" i="30"/>
  <c r="L20" i="30"/>
  <c r="I20" i="30"/>
  <c r="H20" i="30"/>
  <c r="AB19" i="30"/>
  <c r="X19" i="30"/>
  <c r="O19" i="30"/>
  <c r="N19" i="30"/>
  <c r="L19" i="30"/>
  <c r="I19" i="30"/>
  <c r="H19" i="30"/>
  <c r="B19" i="30"/>
  <c r="B20" i="30" s="1"/>
  <c r="B21" i="30" s="1"/>
  <c r="B22" i="30" s="1"/>
  <c r="B23" i="30" s="1"/>
  <c r="AB18" i="30"/>
  <c r="X18" i="30"/>
  <c r="O18" i="30"/>
  <c r="N18" i="30"/>
  <c r="L18" i="30"/>
  <c r="I18" i="30"/>
  <c r="H18" i="30"/>
  <c r="AB17" i="30"/>
  <c r="N17" i="30"/>
  <c r="L17" i="30"/>
  <c r="I17" i="30"/>
  <c r="H17" i="30"/>
  <c r="AB16" i="30"/>
  <c r="N16" i="30"/>
  <c r="L16" i="30"/>
  <c r="I16" i="30"/>
  <c r="H16" i="30"/>
  <c r="AB15" i="30"/>
  <c r="X15" i="30"/>
  <c r="O15" i="30"/>
  <c r="N15" i="30"/>
  <c r="L15" i="30"/>
  <c r="I15" i="30"/>
  <c r="H15" i="30"/>
  <c r="AB14" i="30"/>
  <c r="X14" i="30"/>
  <c r="O14" i="30"/>
  <c r="N14" i="30"/>
  <c r="L14" i="30"/>
  <c r="I14" i="30"/>
  <c r="H14" i="30"/>
  <c r="AB13" i="30"/>
  <c r="X13" i="30"/>
  <c r="O13" i="30"/>
  <c r="N13" i="30"/>
  <c r="L13" i="30"/>
  <c r="I13" i="30"/>
  <c r="H13" i="30"/>
  <c r="B13" i="30"/>
  <c r="B14" i="30" s="1"/>
  <c r="B15" i="30" s="1"/>
  <c r="AB12" i="30"/>
  <c r="X12" i="30"/>
  <c r="O12" i="30"/>
  <c r="N12" i="30"/>
  <c r="L12" i="30"/>
  <c r="I12" i="30"/>
  <c r="H12" i="30"/>
  <c r="AB11" i="30"/>
  <c r="N11" i="30"/>
  <c r="L11" i="30"/>
  <c r="I11" i="30"/>
  <c r="H11" i="30"/>
  <c r="AB10" i="30"/>
  <c r="X10" i="30"/>
  <c r="O10" i="30"/>
  <c r="N10" i="30"/>
  <c r="L10" i="30"/>
  <c r="I10" i="30"/>
  <c r="H10" i="30"/>
  <c r="B10" i="30"/>
  <c r="B11" i="30" s="1"/>
  <c r="AB9" i="30"/>
  <c r="X9" i="30"/>
  <c r="O9" i="30"/>
  <c r="N9" i="30"/>
  <c r="L9" i="30"/>
  <c r="I9" i="30"/>
  <c r="H9" i="30"/>
  <c r="AB8" i="30"/>
  <c r="N8" i="30"/>
  <c r="L8" i="30"/>
  <c r="I8" i="30"/>
  <c r="H8" i="30"/>
  <c r="AB7" i="30"/>
  <c r="X7" i="30"/>
  <c r="N7" i="30"/>
  <c r="L7" i="30"/>
  <c r="I7" i="30"/>
  <c r="H7" i="30"/>
  <c r="B7" i="30"/>
  <c r="B8" i="30" s="1"/>
  <c r="AB6" i="30"/>
  <c r="N6" i="30"/>
  <c r="L6" i="30"/>
  <c r="I6" i="30"/>
  <c r="H6" i="30"/>
  <c r="R217" i="30" l="1"/>
  <c r="R221" i="30"/>
  <c r="Z224" i="30"/>
  <c r="Z228" i="30"/>
  <c r="Z232" i="30"/>
  <c r="R235" i="30"/>
  <c r="R239" i="30"/>
  <c r="R243" i="30"/>
  <c r="Z246" i="30"/>
  <c r="Z250" i="30"/>
  <c r="Z254" i="30"/>
  <c r="Z258" i="30"/>
  <c r="Z262" i="30"/>
  <c r="Z266" i="30"/>
  <c r="R269" i="30"/>
  <c r="R273" i="30"/>
  <c r="R277" i="30"/>
  <c r="R281" i="30"/>
  <c r="R285" i="30"/>
  <c r="R291" i="30"/>
  <c r="R295" i="30"/>
  <c r="R299" i="30"/>
  <c r="R305" i="30"/>
  <c r="R309" i="30"/>
  <c r="R313" i="30"/>
  <c r="R317" i="30"/>
  <c r="Z320" i="30"/>
  <c r="Z326" i="30"/>
  <c r="R329" i="30"/>
  <c r="R333" i="30"/>
  <c r="Z336" i="30"/>
  <c r="R341" i="30"/>
  <c r="R345" i="30"/>
  <c r="R347" i="30"/>
  <c r="R351" i="30"/>
  <c r="R355" i="30"/>
  <c r="R359" i="30"/>
  <c r="R363" i="30"/>
  <c r="Z368" i="30"/>
  <c r="Z372" i="30"/>
  <c r="Z376" i="30"/>
  <c r="R379" i="30"/>
  <c r="Z386" i="30"/>
  <c r="Z390" i="30"/>
  <c r="R397" i="30"/>
  <c r="R401" i="30"/>
  <c r="Z405" i="30"/>
  <c r="AC405" i="30" s="1"/>
  <c r="R409" i="30"/>
  <c r="R413" i="30"/>
  <c r="Z416" i="30"/>
  <c r="R419" i="30"/>
  <c r="R421" i="30"/>
  <c r="R425" i="30"/>
  <c r="Z428" i="30"/>
  <c r="Z432" i="30"/>
  <c r="Z436" i="30"/>
  <c r="R443" i="30"/>
  <c r="R447" i="30"/>
  <c r="R451" i="30"/>
  <c r="R455" i="30"/>
  <c r="R459" i="30"/>
  <c r="R463" i="30"/>
  <c r="R467" i="30"/>
  <c r="R471" i="30"/>
  <c r="R475" i="30"/>
  <c r="R479" i="30"/>
  <c r="R483" i="30"/>
  <c r="R487" i="30"/>
  <c r="Z507" i="30"/>
  <c r="Z511" i="30"/>
  <c r="Z515" i="30"/>
  <c r="R519" i="30"/>
  <c r="R523" i="30"/>
  <c r="R527" i="30"/>
  <c r="Z531" i="30"/>
  <c r="Z535" i="30"/>
  <c r="R543" i="30"/>
  <c r="Z546" i="30"/>
  <c r="R547" i="30"/>
  <c r="Z550" i="30"/>
  <c r="R551" i="30"/>
  <c r="R555" i="30"/>
  <c r="Z558" i="30"/>
  <c r="R559" i="30"/>
  <c r="R563" i="30"/>
  <c r="R567" i="30"/>
  <c r="R571" i="30"/>
  <c r="Z548" i="30"/>
  <c r="R521" i="30"/>
  <c r="Z509" i="30"/>
  <c r="R525" i="30"/>
  <c r="Z426" i="30"/>
  <c r="I576" i="30"/>
  <c r="O576" i="30"/>
  <c r="Z370" i="30"/>
  <c r="Z374" i="30"/>
  <c r="R381" i="30"/>
  <c r="Z384" i="30"/>
  <c r="Z388" i="30"/>
  <c r="Z392" i="30"/>
  <c r="R395" i="30"/>
  <c r="R399" i="30"/>
  <c r="R403" i="30"/>
  <c r="R423" i="30"/>
  <c r="Z430" i="30"/>
  <c r="Z434" i="30"/>
  <c r="Z438" i="30"/>
  <c r="R441" i="30"/>
  <c r="R445" i="30"/>
  <c r="R449" i="30"/>
  <c r="Z453" i="30"/>
  <c r="R457" i="30"/>
  <c r="R461" i="30"/>
  <c r="R469" i="30"/>
  <c r="R473" i="30"/>
  <c r="R477" i="30"/>
  <c r="R481" i="30"/>
  <c r="R485" i="30"/>
  <c r="R489" i="30"/>
  <c r="Z513" i="30"/>
  <c r="R517" i="30"/>
  <c r="Z533" i="30"/>
  <c r="Z537" i="30"/>
  <c r="Z565" i="30"/>
  <c r="Z552" i="30"/>
  <c r="Z569" i="30"/>
  <c r="Z573" i="30"/>
  <c r="R541" i="30"/>
  <c r="R545" i="30"/>
  <c r="R549" i="30"/>
  <c r="L576" i="30"/>
  <c r="R7" i="30"/>
  <c r="Z22" i="30"/>
  <c r="Z41" i="30"/>
  <c r="Z44" i="30"/>
  <c r="Z48" i="30"/>
  <c r="Z63" i="30"/>
  <c r="Z110" i="30"/>
  <c r="Z114" i="30"/>
  <c r="Z118" i="30"/>
  <c r="Z122" i="30"/>
  <c r="Z170" i="30"/>
  <c r="Z174" i="30"/>
  <c r="Z178" i="30"/>
  <c r="Z182" i="30"/>
  <c r="Z186" i="30"/>
  <c r="Z210" i="30"/>
  <c r="Z214" i="30"/>
  <c r="R465" i="30"/>
  <c r="Z15" i="30"/>
  <c r="Z17" i="30"/>
  <c r="Z20" i="30"/>
  <c r="Z23" i="30"/>
  <c r="Z38" i="30"/>
  <c r="Z45" i="30"/>
  <c r="Z49" i="30"/>
  <c r="Z53" i="30"/>
  <c r="Z94" i="30"/>
  <c r="Z97" i="30"/>
  <c r="Z101" i="30"/>
  <c r="Z104" i="30"/>
  <c r="Z107" i="30"/>
  <c r="Z111" i="30"/>
  <c r="Z115" i="30"/>
  <c r="Z119" i="30"/>
  <c r="Z123" i="30"/>
  <c r="Z171" i="30"/>
  <c r="Z175" i="30"/>
  <c r="Z179" i="30"/>
  <c r="Z183" i="30"/>
  <c r="R211" i="30"/>
  <c r="Z218" i="30"/>
  <c r="Z222" i="30"/>
  <c r="R225" i="30"/>
  <c r="R229" i="30"/>
  <c r="R233" i="30"/>
  <c r="Z236" i="30"/>
  <c r="Z240" i="30"/>
  <c r="Z244" i="30"/>
  <c r="R247" i="30"/>
  <c r="R251" i="30"/>
  <c r="R255" i="30"/>
  <c r="R259" i="30"/>
  <c r="R263" i="30"/>
  <c r="R267" i="30"/>
  <c r="Z270" i="30"/>
  <c r="Z274" i="30"/>
  <c r="Z278" i="30"/>
  <c r="Z282" i="30"/>
  <c r="Z288" i="30"/>
  <c r="Z292" i="30"/>
  <c r="Z296" i="30"/>
  <c r="Z300" i="30"/>
  <c r="R303" i="30"/>
  <c r="Z306" i="30"/>
  <c r="Z310" i="30"/>
  <c r="Z314" i="30"/>
  <c r="R321" i="30"/>
  <c r="Z324" i="30"/>
  <c r="R327" i="30"/>
  <c r="Z330" i="30"/>
  <c r="R339" i="30"/>
  <c r="Z356" i="30"/>
  <c r="Z360" i="30"/>
  <c r="Z394" i="30"/>
  <c r="Z410" i="30"/>
  <c r="Z560" i="30"/>
  <c r="R349" i="30"/>
  <c r="R353" i="30"/>
  <c r="R357" i="30"/>
  <c r="R407" i="30"/>
  <c r="R411" i="30"/>
  <c r="R415" i="30"/>
  <c r="Z418" i="30"/>
  <c r="Z420" i="30"/>
  <c r="R215" i="30"/>
  <c r="Z366" i="30"/>
  <c r="Z8" i="30"/>
  <c r="Z14" i="30"/>
  <c r="R18" i="30"/>
  <c r="R19" i="30"/>
  <c r="Z39" i="30"/>
  <c r="Z42" i="30"/>
  <c r="Z46" i="30"/>
  <c r="Z50" i="30"/>
  <c r="Z61" i="30"/>
  <c r="Z68" i="30"/>
  <c r="R98" i="30"/>
  <c r="R9" i="30"/>
  <c r="R10" i="30"/>
  <c r="Z12" i="30"/>
  <c r="Z13" i="30"/>
  <c r="Z21" i="30"/>
  <c r="Z40" i="30"/>
  <c r="Z43" i="30"/>
  <c r="Z47" i="30"/>
  <c r="Z51" i="30"/>
  <c r="Z55" i="30"/>
  <c r="Z96" i="30"/>
  <c r="Z99" i="30"/>
  <c r="Z106" i="30"/>
  <c r="Z109" i="30"/>
  <c r="Z113" i="30"/>
  <c r="Z117" i="30"/>
  <c r="Z7" i="30"/>
  <c r="Z108" i="30"/>
  <c r="Z112" i="30"/>
  <c r="Z116" i="30"/>
  <c r="Z120" i="30"/>
  <c r="R124" i="30"/>
  <c r="Z172" i="30"/>
  <c r="Z176" i="30"/>
  <c r="Z184" i="30"/>
  <c r="Z212" i="30"/>
  <c r="R219" i="30"/>
  <c r="R223" i="30"/>
  <c r="Z226" i="30"/>
  <c r="Z230" i="30"/>
  <c r="Z234" i="30"/>
  <c r="R237" i="30"/>
  <c r="R241" i="30"/>
  <c r="R245" i="30"/>
  <c r="Z248" i="30"/>
  <c r="Z252" i="30"/>
  <c r="Z256" i="30"/>
  <c r="Z260" i="30"/>
  <c r="Z264" i="30"/>
  <c r="Z268" i="30"/>
  <c r="R271" i="30"/>
  <c r="R275" i="30"/>
  <c r="R279" i="30"/>
  <c r="R283" i="30"/>
  <c r="Z286" i="30"/>
  <c r="R289" i="30"/>
  <c r="R293" i="30"/>
  <c r="R297" i="30"/>
  <c r="R301" i="30"/>
  <c r="Z304" i="30"/>
  <c r="R307" i="30"/>
  <c r="R311" i="30"/>
  <c r="R315" i="30"/>
  <c r="Z318" i="30"/>
  <c r="Z322" i="30"/>
  <c r="Z328" i="30"/>
  <c r="R331" i="30"/>
  <c r="Z334" i="30"/>
  <c r="R337" i="30"/>
  <c r="Z340" i="30"/>
  <c r="R343" i="30"/>
  <c r="Z346" i="30"/>
  <c r="R361" i="30"/>
  <c r="Z364" i="30"/>
  <c r="R367" i="30"/>
  <c r="Z378" i="30"/>
  <c r="R553" i="30"/>
  <c r="R557" i="30"/>
  <c r="R561" i="30"/>
  <c r="R565" i="30"/>
  <c r="R569" i="30"/>
  <c r="R573" i="30"/>
  <c r="Z121" i="30"/>
  <c r="Z173" i="30"/>
  <c r="Z177" i="30"/>
  <c r="Z181" i="30"/>
  <c r="Z185" i="30"/>
  <c r="R213" i="30"/>
  <c r="Z216" i="30"/>
  <c r="Z220" i="30"/>
  <c r="R227" i="30"/>
  <c r="R231" i="30"/>
  <c r="Z238" i="30"/>
  <c r="Z242" i="30"/>
  <c r="R249" i="30"/>
  <c r="R253" i="30"/>
  <c r="R257" i="30"/>
  <c r="R261" i="30"/>
  <c r="R265" i="30"/>
  <c r="Z272" i="30"/>
  <c r="Z276" i="30"/>
  <c r="Z280" i="30"/>
  <c r="Z284" i="30"/>
  <c r="R287" i="30"/>
  <c r="Z294" i="30"/>
  <c r="Z298" i="30"/>
  <c r="Z302" i="30"/>
  <c r="Z308" i="30"/>
  <c r="Z312" i="30"/>
  <c r="Z316" i="30"/>
  <c r="R319" i="30"/>
  <c r="R323" i="30"/>
  <c r="R325" i="30"/>
  <c r="Z332" i="30"/>
  <c r="R335" i="30"/>
  <c r="Z338" i="30"/>
  <c r="Z344" i="30"/>
  <c r="Z350" i="30"/>
  <c r="Z354" i="30"/>
  <c r="Z358" i="30"/>
  <c r="Z362" i="30"/>
  <c r="R365" i="30"/>
  <c r="R371" i="30"/>
  <c r="R375" i="30"/>
  <c r="Z382" i="30"/>
  <c r="R385" i="30"/>
  <c r="R389" i="30"/>
  <c r="R393" i="30"/>
  <c r="Z396" i="30"/>
  <c r="Z400" i="30"/>
  <c r="Z404" i="30"/>
  <c r="Z408" i="30"/>
  <c r="Z412" i="30"/>
  <c r="Z424" i="30"/>
  <c r="R427" i="30"/>
  <c r="R431" i="30"/>
  <c r="R435" i="30"/>
  <c r="R439" i="30"/>
  <c r="Z442" i="30"/>
  <c r="Z446" i="30"/>
  <c r="Z450" i="30"/>
  <c r="Z454" i="30"/>
  <c r="Z458" i="30"/>
  <c r="R462" i="30"/>
  <c r="R466" i="30"/>
  <c r="R470" i="30"/>
  <c r="R474" i="30"/>
  <c r="R478" i="30"/>
  <c r="R482" i="30"/>
  <c r="R486" i="30"/>
  <c r="R490" i="30"/>
  <c r="Z510" i="30"/>
  <c r="Z514" i="30"/>
  <c r="Z518" i="30"/>
  <c r="Z522" i="30"/>
  <c r="Z526" i="30"/>
  <c r="R530" i="30"/>
  <c r="R534" i="30"/>
  <c r="R538" i="30"/>
  <c r="Z542" i="30"/>
  <c r="R546" i="30"/>
  <c r="R550" i="30"/>
  <c r="Z554" i="30"/>
  <c r="R558" i="30"/>
  <c r="R566" i="30"/>
  <c r="R570" i="30"/>
  <c r="R574" i="30"/>
  <c r="Z342" i="30"/>
  <c r="Z348" i="30"/>
  <c r="Z352" i="30"/>
  <c r="R369" i="30"/>
  <c r="R373" i="30"/>
  <c r="R377" i="30"/>
  <c r="Z380" i="30"/>
  <c r="R383" i="30"/>
  <c r="R387" i="30"/>
  <c r="R391" i="30"/>
  <c r="Z398" i="30"/>
  <c r="Z402" i="30"/>
  <c r="Z406" i="30"/>
  <c r="Z414" i="30"/>
  <c r="R417" i="30"/>
  <c r="Z422" i="30"/>
  <c r="R429" i="30"/>
  <c r="R433" i="30"/>
  <c r="R437" i="30"/>
  <c r="Z440" i="30"/>
  <c r="Z444" i="30"/>
  <c r="Z448" i="30"/>
  <c r="Z452" i="30"/>
  <c r="Z456" i="30"/>
  <c r="R460" i="30"/>
  <c r="R464" i="30"/>
  <c r="R468" i="30"/>
  <c r="R472" i="30"/>
  <c r="R476" i="30"/>
  <c r="R480" i="30"/>
  <c r="R484" i="30"/>
  <c r="R488" i="30"/>
  <c r="Z508" i="30"/>
  <c r="Z512" i="30"/>
  <c r="Z516" i="30"/>
  <c r="Z520" i="30"/>
  <c r="Z524" i="30"/>
  <c r="Z528" i="30"/>
  <c r="R532" i="30"/>
  <c r="R536" i="30"/>
  <c r="Z540" i="30"/>
  <c r="Z544" i="30"/>
  <c r="R548" i="30"/>
  <c r="R552" i="30"/>
  <c r="R556" i="30"/>
  <c r="R560" i="30"/>
  <c r="Z563" i="30"/>
  <c r="R564" i="30"/>
  <c r="Z567" i="30"/>
  <c r="R568" i="30"/>
  <c r="Z571" i="30"/>
  <c r="R572" i="30"/>
  <c r="B210" i="30"/>
  <c r="B211" i="30" s="1"/>
  <c r="B212" i="30" s="1"/>
  <c r="B213" i="30" s="1"/>
  <c r="B214" i="30" s="1"/>
  <c r="B215" i="30" s="1"/>
  <c r="B123" i="30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J8" i="30"/>
  <c r="Q8" i="30" s="1"/>
  <c r="R8" i="30"/>
  <c r="H576" i="30"/>
  <c r="J6" i="30"/>
  <c r="Q6" i="30" s="1"/>
  <c r="N576" i="30"/>
  <c r="R6" i="30"/>
  <c r="Z6" i="30"/>
  <c r="AB576" i="30"/>
  <c r="J7" i="30"/>
  <c r="Q7" i="30" s="1"/>
  <c r="J9" i="30"/>
  <c r="Q9" i="30" s="1"/>
  <c r="Z9" i="30"/>
  <c r="J10" i="30"/>
  <c r="Q10" i="30" s="1"/>
  <c r="Z10" i="30"/>
  <c r="J11" i="30"/>
  <c r="Q11" i="30" s="1"/>
  <c r="R11" i="30"/>
  <c r="Z11" i="30"/>
  <c r="R12" i="30"/>
  <c r="R13" i="30"/>
  <c r="R14" i="30"/>
  <c r="R15" i="30"/>
  <c r="J16" i="30"/>
  <c r="Q16" i="30" s="1"/>
  <c r="R16" i="30"/>
  <c r="Z16" i="30"/>
  <c r="J18" i="30"/>
  <c r="Q18" i="30" s="1"/>
  <c r="Z18" i="30"/>
  <c r="J19" i="30"/>
  <c r="Q19" i="30" s="1"/>
  <c r="Z19" i="30"/>
  <c r="J20" i="30"/>
  <c r="Q20" i="30" s="1"/>
  <c r="R20" i="30"/>
  <c r="J24" i="30"/>
  <c r="Q24" i="30" s="1"/>
  <c r="R24" i="30"/>
  <c r="Z24" i="30"/>
  <c r="J25" i="30"/>
  <c r="Q25" i="30" s="1"/>
  <c r="R25" i="30"/>
  <c r="Z25" i="30"/>
  <c r="J26" i="30"/>
  <c r="Q26" i="30" s="1"/>
  <c r="R26" i="30"/>
  <c r="Z26" i="30"/>
  <c r="J27" i="30"/>
  <c r="Q27" i="30" s="1"/>
  <c r="R27" i="30"/>
  <c r="Z27" i="30"/>
  <c r="J28" i="30"/>
  <c r="Q28" i="30" s="1"/>
  <c r="R28" i="30"/>
  <c r="Z28" i="30"/>
  <c r="J29" i="30"/>
  <c r="Q29" i="30" s="1"/>
  <c r="R29" i="30"/>
  <c r="Z29" i="30"/>
  <c r="J30" i="30"/>
  <c r="Q30" i="30" s="1"/>
  <c r="R30" i="30"/>
  <c r="Z30" i="30"/>
  <c r="J31" i="30"/>
  <c r="Q31" i="30" s="1"/>
  <c r="R31" i="30"/>
  <c r="Z31" i="30"/>
  <c r="J32" i="30"/>
  <c r="Q32" i="30" s="1"/>
  <c r="R32" i="30"/>
  <c r="Z32" i="30"/>
  <c r="J33" i="30"/>
  <c r="Q33" i="30" s="1"/>
  <c r="R33" i="30"/>
  <c r="Z33" i="30"/>
  <c r="J34" i="30"/>
  <c r="Q34" i="30" s="1"/>
  <c r="R34" i="30"/>
  <c r="Z34" i="30"/>
  <c r="J35" i="30"/>
  <c r="Q35" i="30" s="1"/>
  <c r="R35" i="30"/>
  <c r="Z35" i="30"/>
  <c r="J36" i="30"/>
  <c r="Q36" i="30" s="1"/>
  <c r="R36" i="30"/>
  <c r="Z36" i="30"/>
  <c r="J37" i="30"/>
  <c r="Q37" i="30" s="1"/>
  <c r="R37" i="30"/>
  <c r="Z37" i="30"/>
  <c r="J38" i="30"/>
  <c r="Q38" i="30" s="1"/>
  <c r="R38" i="30"/>
  <c r="J39" i="30"/>
  <c r="Q39" i="30" s="1"/>
  <c r="R39" i="30"/>
  <c r="J40" i="30"/>
  <c r="Q40" i="30" s="1"/>
  <c r="R40" i="30"/>
  <c r="J52" i="30"/>
  <c r="Q52" i="30" s="1"/>
  <c r="R52" i="30"/>
  <c r="Z52" i="30"/>
  <c r="J54" i="30"/>
  <c r="Q54" i="30" s="1"/>
  <c r="R54" i="30"/>
  <c r="Z54" i="30"/>
  <c r="J56" i="30"/>
  <c r="Q56" i="30" s="1"/>
  <c r="R56" i="30"/>
  <c r="Z56" i="30"/>
  <c r="J57" i="30"/>
  <c r="Q57" i="30" s="1"/>
  <c r="R57" i="30"/>
  <c r="Z57" i="30"/>
  <c r="J58" i="30"/>
  <c r="Q58" i="30" s="1"/>
  <c r="R58" i="30"/>
  <c r="Z58" i="30"/>
  <c r="J59" i="30"/>
  <c r="Q59" i="30" s="1"/>
  <c r="R59" i="30"/>
  <c r="Z59" i="30"/>
  <c r="J60" i="30"/>
  <c r="Q60" i="30" s="1"/>
  <c r="R60" i="30"/>
  <c r="Z60" i="30"/>
  <c r="J62" i="30"/>
  <c r="Q62" i="30" s="1"/>
  <c r="R62" i="30"/>
  <c r="Z62" i="30"/>
  <c r="J64" i="30"/>
  <c r="Q64" i="30" s="1"/>
  <c r="R64" i="30"/>
  <c r="Z64" i="30"/>
  <c r="J65" i="30"/>
  <c r="Q65" i="30" s="1"/>
  <c r="R65" i="30"/>
  <c r="Z65" i="30"/>
  <c r="J66" i="30"/>
  <c r="Q66" i="30" s="1"/>
  <c r="R66" i="30"/>
  <c r="Z66" i="30"/>
  <c r="J67" i="30"/>
  <c r="Q67" i="30" s="1"/>
  <c r="R67" i="30"/>
  <c r="Z67" i="30"/>
  <c r="J69" i="30"/>
  <c r="Q69" i="30" s="1"/>
  <c r="R69" i="30"/>
  <c r="Z69" i="30"/>
  <c r="J70" i="30"/>
  <c r="Q70" i="30" s="1"/>
  <c r="R70" i="30"/>
  <c r="Z70" i="30"/>
  <c r="J71" i="30"/>
  <c r="Q71" i="30" s="1"/>
  <c r="R71" i="30"/>
  <c r="Z71" i="30"/>
  <c r="J72" i="30"/>
  <c r="Q72" i="30" s="1"/>
  <c r="R72" i="30"/>
  <c r="Z72" i="30"/>
  <c r="J73" i="30"/>
  <c r="Q73" i="30" s="1"/>
  <c r="R73" i="30"/>
  <c r="Z73" i="30"/>
  <c r="J74" i="30"/>
  <c r="Q74" i="30" s="1"/>
  <c r="R74" i="30"/>
  <c r="Z74" i="30"/>
  <c r="J75" i="30"/>
  <c r="Q75" i="30" s="1"/>
  <c r="R75" i="30"/>
  <c r="Z75" i="30"/>
  <c r="J76" i="30"/>
  <c r="Q76" i="30" s="1"/>
  <c r="R76" i="30"/>
  <c r="Z76" i="30"/>
  <c r="J77" i="30"/>
  <c r="Q77" i="30" s="1"/>
  <c r="R77" i="30"/>
  <c r="Z77" i="30"/>
  <c r="J78" i="30"/>
  <c r="Q78" i="30" s="1"/>
  <c r="R78" i="30"/>
  <c r="Z78" i="30"/>
  <c r="J79" i="30"/>
  <c r="Q79" i="30" s="1"/>
  <c r="R79" i="30"/>
  <c r="Z79" i="30"/>
  <c r="J80" i="30"/>
  <c r="Q80" i="30" s="1"/>
  <c r="R80" i="30"/>
  <c r="Z80" i="30"/>
  <c r="J81" i="30"/>
  <c r="Q81" i="30" s="1"/>
  <c r="R81" i="30"/>
  <c r="Z81" i="30"/>
  <c r="J82" i="30"/>
  <c r="Q82" i="30" s="1"/>
  <c r="R82" i="30"/>
  <c r="Z82" i="30"/>
  <c r="J83" i="30"/>
  <c r="Q83" i="30" s="1"/>
  <c r="R83" i="30"/>
  <c r="Z83" i="30"/>
  <c r="J84" i="30"/>
  <c r="Q84" i="30" s="1"/>
  <c r="R84" i="30"/>
  <c r="Z84" i="30"/>
  <c r="J85" i="30"/>
  <c r="Q85" i="30" s="1"/>
  <c r="R85" i="30"/>
  <c r="Z85" i="30"/>
  <c r="J86" i="30"/>
  <c r="Q86" i="30" s="1"/>
  <c r="R86" i="30"/>
  <c r="Z86" i="30"/>
  <c r="J87" i="30"/>
  <c r="Q87" i="30" s="1"/>
  <c r="R87" i="30"/>
  <c r="Z87" i="30"/>
  <c r="J88" i="30"/>
  <c r="Q88" i="30" s="1"/>
  <c r="R88" i="30"/>
  <c r="Z88" i="30"/>
  <c r="J89" i="30"/>
  <c r="Q89" i="30" s="1"/>
  <c r="R89" i="30"/>
  <c r="Z89" i="30"/>
  <c r="J90" i="30"/>
  <c r="Q90" i="30" s="1"/>
  <c r="R90" i="30"/>
  <c r="Z90" i="30"/>
  <c r="J91" i="30"/>
  <c r="Q91" i="30" s="1"/>
  <c r="R91" i="30"/>
  <c r="Z91" i="30"/>
  <c r="J92" i="30"/>
  <c r="Q92" i="30" s="1"/>
  <c r="R92" i="30"/>
  <c r="Z92" i="30"/>
  <c r="J93" i="30"/>
  <c r="Q93" i="30" s="1"/>
  <c r="R93" i="30"/>
  <c r="Z93" i="30"/>
  <c r="J95" i="30"/>
  <c r="Q95" i="30" s="1"/>
  <c r="R95" i="30"/>
  <c r="Z95" i="30"/>
  <c r="Z98" i="30"/>
  <c r="J100" i="30"/>
  <c r="Q100" i="30" s="1"/>
  <c r="R100" i="30"/>
  <c r="Z100" i="30"/>
  <c r="J102" i="30"/>
  <c r="Q102" i="30" s="1"/>
  <c r="R102" i="30"/>
  <c r="Z102" i="30"/>
  <c r="J103" i="30"/>
  <c r="Q103" i="30" s="1"/>
  <c r="R103" i="30"/>
  <c r="Z103" i="30"/>
  <c r="J105" i="30"/>
  <c r="Q105" i="30" s="1"/>
  <c r="R105" i="30"/>
  <c r="Z105" i="30"/>
  <c r="Z124" i="30"/>
  <c r="J125" i="30"/>
  <c r="Q125" i="30" s="1"/>
  <c r="R125" i="30"/>
  <c r="Z125" i="30"/>
  <c r="J126" i="30"/>
  <c r="Q126" i="30" s="1"/>
  <c r="R126" i="30"/>
  <c r="Z126" i="30"/>
  <c r="J127" i="30"/>
  <c r="Q127" i="30" s="1"/>
  <c r="R127" i="30"/>
  <c r="Z127" i="30"/>
  <c r="J128" i="30"/>
  <c r="Q128" i="30" s="1"/>
  <c r="R128" i="30"/>
  <c r="Z128" i="30"/>
  <c r="J129" i="30"/>
  <c r="Q129" i="30" s="1"/>
  <c r="R129" i="30"/>
  <c r="Z129" i="30"/>
  <c r="J130" i="30"/>
  <c r="Q130" i="30" s="1"/>
  <c r="R130" i="30"/>
  <c r="Z130" i="30"/>
  <c r="J131" i="30"/>
  <c r="Q131" i="30" s="1"/>
  <c r="R131" i="30"/>
  <c r="Z131" i="30"/>
  <c r="J132" i="30"/>
  <c r="Q132" i="30" s="1"/>
  <c r="R132" i="30"/>
  <c r="Z132" i="30"/>
  <c r="J133" i="30"/>
  <c r="Q133" i="30" s="1"/>
  <c r="R133" i="30"/>
  <c r="Z133" i="30"/>
  <c r="J134" i="30"/>
  <c r="Q134" i="30" s="1"/>
  <c r="R134" i="30"/>
  <c r="Z134" i="30"/>
  <c r="J135" i="30"/>
  <c r="Q135" i="30" s="1"/>
  <c r="R135" i="30"/>
  <c r="Z135" i="30"/>
  <c r="J136" i="30"/>
  <c r="Q136" i="30" s="1"/>
  <c r="R136" i="30"/>
  <c r="Z136" i="30"/>
  <c r="J137" i="30"/>
  <c r="Q137" i="30" s="1"/>
  <c r="R137" i="30"/>
  <c r="Z137" i="30"/>
  <c r="J138" i="30"/>
  <c r="Q138" i="30" s="1"/>
  <c r="R138" i="30"/>
  <c r="Z138" i="30"/>
  <c r="J139" i="30"/>
  <c r="Q139" i="30" s="1"/>
  <c r="R139" i="30"/>
  <c r="Z139" i="30"/>
  <c r="J140" i="30"/>
  <c r="Q140" i="30" s="1"/>
  <c r="R140" i="30"/>
  <c r="Z140" i="30"/>
  <c r="J141" i="30"/>
  <c r="Q141" i="30" s="1"/>
  <c r="R141" i="30"/>
  <c r="Z141" i="30"/>
  <c r="J142" i="30"/>
  <c r="Q142" i="30" s="1"/>
  <c r="R142" i="30"/>
  <c r="Z142" i="30"/>
  <c r="J143" i="30"/>
  <c r="Q143" i="30" s="1"/>
  <c r="R143" i="30"/>
  <c r="Z143" i="30"/>
  <c r="J144" i="30"/>
  <c r="Q144" i="30" s="1"/>
  <c r="R144" i="30"/>
  <c r="Z144" i="30"/>
  <c r="J145" i="30"/>
  <c r="Q145" i="30" s="1"/>
  <c r="R145" i="30"/>
  <c r="Z145" i="30"/>
  <c r="J146" i="30"/>
  <c r="Q146" i="30" s="1"/>
  <c r="R146" i="30"/>
  <c r="Z146" i="30"/>
  <c r="J147" i="30"/>
  <c r="Q147" i="30" s="1"/>
  <c r="R147" i="30"/>
  <c r="Z147" i="30"/>
  <c r="J148" i="30"/>
  <c r="Q148" i="30" s="1"/>
  <c r="R148" i="30"/>
  <c r="Z148" i="30"/>
  <c r="J149" i="30"/>
  <c r="Q149" i="30" s="1"/>
  <c r="R149" i="30"/>
  <c r="Z149" i="30"/>
  <c r="J150" i="30"/>
  <c r="Q150" i="30" s="1"/>
  <c r="R150" i="30"/>
  <c r="Z150" i="30"/>
  <c r="J151" i="30"/>
  <c r="Q151" i="30" s="1"/>
  <c r="R151" i="30"/>
  <c r="Z151" i="30"/>
  <c r="J152" i="30"/>
  <c r="Q152" i="30" s="1"/>
  <c r="R152" i="30"/>
  <c r="Z152" i="30"/>
  <c r="J153" i="30"/>
  <c r="Q153" i="30" s="1"/>
  <c r="R153" i="30"/>
  <c r="Z153" i="30"/>
  <c r="J154" i="30"/>
  <c r="Q154" i="30" s="1"/>
  <c r="R154" i="30"/>
  <c r="Z154" i="30"/>
  <c r="J155" i="30"/>
  <c r="Q155" i="30" s="1"/>
  <c r="R155" i="30"/>
  <c r="Z155" i="30"/>
  <c r="J156" i="30"/>
  <c r="Q156" i="30" s="1"/>
  <c r="R156" i="30"/>
  <c r="Z156" i="30"/>
  <c r="J157" i="30"/>
  <c r="Q157" i="30" s="1"/>
  <c r="R157" i="30"/>
  <c r="Z157" i="30"/>
  <c r="J158" i="30"/>
  <c r="Q158" i="30" s="1"/>
  <c r="R158" i="30"/>
  <c r="Z158" i="30"/>
  <c r="J159" i="30"/>
  <c r="Q159" i="30" s="1"/>
  <c r="R159" i="30"/>
  <c r="Z159" i="30"/>
  <c r="J160" i="30"/>
  <c r="Q160" i="30" s="1"/>
  <c r="R160" i="30"/>
  <c r="Z160" i="30"/>
  <c r="J161" i="30"/>
  <c r="Q161" i="30" s="1"/>
  <c r="R161" i="30"/>
  <c r="Z161" i="30"/>
  <c r="J162" i="30"/>
  <c r="Q162" i="30" s="1"/>
  <c r="R162" i="30"/>
  <c r="Z162" i="30"/>
  <c r="J163" i="30"/>
  <c r="Q163" i="30" s="1"/>
  <c r="R163" i="30"/>
  <c r="Z163" i="30"/>
  <c r="J164" i="30"/>
  <c r="Q164" i="30" s="1"/>
  <c r="R164" i="30"/>
  <c r="Z164" i="30"/>
  <c r="J165" i="30"/>
  <c r="Q165" i="30" s="1"/>
  <c r="R165" i="30"/>
  <c r="Z165" i="30"/>
  <c r="J166" i="30"/>
  <c r="Q166" i="30" s="1"/>
  <c r="R166" i="30"/>
  <c r="Z166" i="30"/>
  <c r="J167" i="30"/>
  <c r="Q167" i="30" s="1"/>
  <c r="R167" i="30"/>
  <c r="Z167" i="30"/>
  <c r="J168" i="30"/>
  <c r="Q168" i="30" s="1"/>
  <c r="R168" i="30"/>
  <c r="Z168" i="30"/>
  <c r="J169" i="30"/>
  <c r="Q169" i="30" s="1"/>
  <c r="R169" i="30"/>
  <c r="Z169" i="30"/>
  <c r="J170" i="30"/>
  <c r="Q170" i="30" s="1"/>
  <c r="R170" i="30"/>
  <c r="J171" i="30"/>
  <c r="Q171" i="30" s="1"/>
  <c r="R171" i="30"/>
  <c r="J172" i="30"/>
  <c r="Q172" i="30" s="1"/>
  <c r="R172" i="30"/>
  <c r="J173" i="30"/>
  <c r="Q173" i="30" s="1"/>
  <c r="R173" i="30"/>
  <c r="J174" i="30"/>
  <c r="Q174" i="30" s="1"/>
  <c r="R174" i="30"/>
  <c r="J175" i="30"/>
  <c r="Q175" i="30" s="1"/>
  <c r="R175" i="30"/>
  <c r="J176" i="30"/>
  <c r="Q176" i="30" s="1"/>
  <c r="R176" i="30"/>
  <c r="J177" i="30"/>
  <c r="Q177" i="30" s="1"/>
  <c r="R177" i="30"/>
  <c r="J178" i="30"/>
  <c r="Q178" i="30" s="1"/>
  <c r="R178" i="30"/>
  <c r="J179" i="30"/>
  <c r="Q179" i="30" s="1"/>
  <c r="R179" i="30"/>
  <c r="J180" i="30"/>
  <c r="Q180" i="30" s="1"/>
  <c r="R180" i="30"/>
  <c r="Z180" i="30"/>
  <c r="J181" i="30"/>
  <c r="Q181" i="30" s="1"/>
  <c r="R181" i="30"/>
  <c r="J182" i="30"/>
  <c r="Q182" i="30" s="1"/>
  <c r="R182" i="30"/>
  <c r="J183" i="30"/>
  <c r="Q183" i="30" s="1"/>
  <c r="R183" i="30"/>
  <c r="J184" i="30"/>
  <c r="Q184" i="30" s="1"/>
  <c r="R184" i="30"/>
  <c r="J185" i="30"/>
  <c r="Q185" i="30" s="1"/>
  <c r="R185" i="30"/>
  <c r="J186" i="30"/>
  <c r="Q186" i="30" s="1"/>
  <c r="R186" i="30"/>
  <c r="Z187" i="30"/>
  <c r="J187" i="30"/>
  <c r="Q187" i="30" s="1"/>
  <c r="R187" i="30"/>
  <c r="J12" i="30"/>
  <c r="Q12" i="30" s="1"/>
  <c r="J13" i="30"/>
  <c r="Q13" i="30" s="1"/>
  <c r="J14" i="30"/>
  <c r="Q14" i="30" s="1"/>
  <c r="J15" i="30"/>
  <c r="Q15" i="30" s="1"/>
  <c r="J17" i="30"/>
  <c r="Q17" i="30" s="1"/>
  <c r="R17" i="30"/>
  <c r="J21" i="30"/>
  <c r="Q21" i="30" s="1"/>
  <c r="R21" i="30"/>
  <c r="J22" i="30"/>
  <c r="Q22" i="30" s="1"/>
  <c r="R22" i="30"/>
  <c r="J23" i="30"/>
  <c r="Q23" i="30" s="1"/>
  <c r="R23" i="30"/>
  <c r="J41" i="30"/>
  <c r="Q41" i="30" s="1"/>
  <c r="R41" i="30"/>
  <c r="J42" i="30"/>
  <c r="Q42" i="30" s="1"/>
  <c r="R42" i="30"/>
  <c r="J43" i="30"/>
  <c r="Q43" i="30" s="1"/>
  <c r="R43" i="30"/>
  <c r="J44" i="30"/>
  <c r="Q44" i="30" s="1"/>
  <c r="R44" i="30"/>
  <c r="J45" i="30"/>
  <c r="Q45" i="30" s="1"/>
  <c r="R45" i="30"/>
  <c r="J46" i="30"/>
  <c r="Q46" i="30" s="1"/>
  <c r="R46" i="30"/>
  <c r="J47" i="30"/>
  <c r="Q47" i="30" s="1"/>
  <c r="R47" i="30"/>
  <c r="J48" i="30"/>
  <c r="Q48" i="30" s="1"/>
  <c r="R48" i="30"/>
  <c r="J49" i="30"/>
  <c r="Q49" i="30" s="1"/>
  <c r="R49" i="30"/>
  <c r="J50" i="30"/>
  <c r="Q50" i="30" s="1"/>
  <c r="R50" i="30"/>
  <c r="J51" i="30"/>
  <c r="Q51" i="30" s="1"/>
  <c r="R51" i="30"/>
  <c r="J53" i="30"/>
  <c r="Q53" i="30" s="1"/>
  <c r="R53" i="30"/>
  <c r="J55" i="30"/>
  <c r="Q55" i="30" s="1"/>
  <c r="R55" i="30"/>
  <c r="J61" i="30"/>
  <c r="Q61" i="30" s="1"/>
  <c r="R61" i="30"/>
  <c r="J63" i="30"/>
  <c r="Q63" i="30" s="1"/>
  <c r="R63" i="30"/>
  <c r="J68" i="30"/>
  <c r="Q68" i="30" s="1"/>
  <c r="R68" i="30"/>
  <c r="J94" i="30"/>
  <c r="Q94" i="30" s="1"/>
  <c r="R94" i="30"/>
  <c r="J96" i="30"/>
  <c r="Q96" i="30" s="1"/>
  <c r="R96" i="30"/>
  <c r="J97" i="30"/>
  <c r="Q97" i="30" s="1"/>
  <c r="R97" i="30"/>
  <c r="J98" i="30"/>
  <c r="Q98" i="30" s="1"/>
  <c r="J99" i="30"/>
  <c r="Q99" i="30" s="1"/>
  <c r="R99" i="30"/>
  <c r="J101" i="30"/>
  <c r="Q101" i="30" s="1"/>
  <c r="R101" i="30"/>
  <c r="J104" i="30"/>
  <c r="Q104" i="30" s="1"/>
  <c r="R104" i="30"/>
  <c r="J106" i="30"/>
  <c r="Q106" i="30" s="1"/>
  <c r="R106" i="30"/>
  <c r="J107" i="30"/>
  <c r="Q107" i="30" s="1"/>
  <c r="R107" i="30"/>
  <c r="J108" i="30"/>
  <c r="Q108" i="30" s="1"/>
  <c r="R108" i="30"/>
  <c r="J109" i="30"/>
  <c r="Q109" i="30" s="1"/>
  <c r="R109" i="30"/>
  <c r="J110" i="30"/>
  <c r="Q110" i="30" s="1"/>
  <c r="R110" i="30"/>
  <c r="J111" i="30"/>
  <c r="Q111" i="30" s="1"/>
  <c r="R111" i="30"/>
  <c r="J112" i="30"/>
  <c r="Q112" i="30" s="1"/>
  <c r="R112" i="30"/>
  <c r="J113" i="30"/>
  <c r="Q113" i="30" s="1"/>
  <c r="R113" i="30"/>
  <c r="J114" i="30"/>
  <c r="Q114" i="30" s="1"/>
  <c r="R114" i="30"/>
  <c r="J115" i="30"/>
  <c r="Q115" i="30" s="1"/>
  <c r="R115" i="30"/>
  <c r="J116" i="30"/>
  <c r="Q116" i="30" s="1"/>
  <c r="R116" i="30"/>
  <c r="J117" i="30"/>
  <c r="Q117" i="30" s="1"/>
  <c r="R117" i="30"/>
  <c r="J118" i="30"/>
  <c r="Q118" i="30" s="1"/>
  <c r="R118" i="30"/>
  <c r="J119" i="30"/>
  <c r="Q119" i="30" s="1"/>
  <c r="R119" i="30"/>
  <c r="J120" i="30"/>
  <c r="Q120" i="30" s="1"/>
  <c r="R120" i="30"/>
  <c r="J121" i="30"/>
  <c r="Q121" i="30" s="1"/>
  <c r="R121" i="30"/>
  <c r="J122" i="30"/>
  <c r="Q122" i="30" s="1"/>
  <c r="R122" i="30"/>
  <c r="J123" i="30"/>
  <c r="Q123" i="30" s="1"/>
  <c r="R123" i="30"/>
  <c r="J124" i="30"/>
  <c r="Q124" i="30" s="1"/>
  <c r="J188" i="30"/>
  <c r="Q188" i="30" s="1"/>
  <c r="R188" i="30"/>
  <c r="Z188" i="30"/>
  <c r="J189" i="30"/>
  <c r="Q189" i="30" s="1"/>
  <c r="R189" i="30"/>
  <c r="Z189" i="30"/>
  <c r="J190" i="30"/>
  <c r="Q190" i="30" s="1"/>
  <c r="R190" i="30"/>
  <c r="Z190" i="30"/>
  <c r="J191" i="30"/>
  <c r="Q191" i="30" s="1"/>
  <c r="R191" i="30"/>
  <c r="Z191" i="30"/>
  <c r="J192" i="30"/>
  <c r="Q192" i="30" s="1"/>
  <c r="R192" i="30"/>
  <c r="Z192" i="30"/>
  <c r="J193" i="30"/>
  <c r="Q193" i="30" s="1"/>
  <c r="R193" i="30"/>
  <c r="Z193" i="30"/>
  <c r="J194" i="30"/>
  <c r="Q194" i="30" s="1"/>
  <c r="R194" i="30"/>
  <c r="Z194" i="30"/>
  <c r="J195" i="30"/>
  <c r="Q195" i="30" s="1"/>
  <c r="R195" i="30"/>
  <c r="Z195" i="30"/>
  <c r="J196" i="30"/>
  <c r="Q196" i="30" s="1"/>
  <c r="R196" i="30"/>
  <c r="Z196" i="30"/>
  <c r="J197" i="30"/>
  <c r="Q197" i="30" s="1"/>
  <c r="R197" i="30"/>
  <c r="Z197" i="30"/>
  <c r="J198" i="30"/>
  <c r="Q198" i="30" s="1"/>
  <c r="R198" i="30"/>
  <c r="Z198" i="30"/>
  <c r="J199" i="30"/>
  <c r="Q199" i="30" s="1"/>
  <c r="R199" i="30"/>
  <c r="Z199" i="30"/>
  <c r="J200" i="30"/>
  <c r="Q200" i="30" s="1"/>
  <c r="R200" i="30"/>
  <c r="Z200" i="30"/>
  <c r="J201" i="30"/>
  <c r="Q201" i="30" s="1"/>
  <c r="R201" i="30"/>
  <c r="Z201" i="30"/>
  <c r="J202" i="30"/>
  <c r="Q202" i="30" s="1"/>
  <c r="R202" i="30"/>
  <c r="Z202" i="30"/>
  <c r="J203" i="30"/>
  <c r="Q203" i="30" s="1"/>
  <c r="R203" i="30"/>
  <c r="Z203" i="30"/>
  <c r="J204" i="30"/>
  <c r="Q204" i="30" s="1"/>
  <c r="R204" i="30"/>
  <c r="Z204" i="30"/>
  <c r="J205" i="30"/>
  <c r="Q205" i="30" s="1"/>
  <c r="R205" i="30"/>
  <c r="Z205" i="30"/>
  <c r="J206" i="30"/>
  <c r="Q206" i="30" s="1"/>
  <c r="R206" i="30"/>
  <c r="Z206" i="30"/>
  <c r="J207" i="30"/>
  <c r="Q207" i="30" s="1"/>
  <c r="R207" i="30"/>
  <c r="Z207" i="30"/>
  <c r="J208" i="30"/>
  <c r="Q208" i="30" s="1"/>
  <c r="R208" i="30"/>
  <c r="Z208" i="30"/>
  <c r="J209" i="30"/>
  <c r="Q209" i="30" s="1"/>
  <c r="R209" i="30"/>
  <c r="Z209" i="30"/>
  <c r="J210" i="30"/>
  <c r="R210" i="30"/>
  <c r="Z211" i="30"/>
  <c r="J212" i="30"/>
  <c r="Q212" i="30" s="1"/>
  <c r="R212" i="30"/>
  <c r="Z213" i="30"/>
  <c r="J214" i="30"/>
  <c r="Q214" i="30" s="1"/>
  <c r="R214" i="30"/>
  <c r="Z215" i="30"/>
  <c r="J216" i="30"/>
  <c r="Q216" i="30" s="1"/>
  <c r="R216" i="30"/>
  <c r="Z217" i="30"/>
  <c r="J218" i="30"/>
  <c r="Q218" i="30" s="1"/>
  <c r="R218" i="30"/>
  <c r="Z219" i="30"/>
  <c r="J220" i="30"/>
  <c r="Q220" i="30" s="1"/>
  <c r="R220" i="30"/>
  <c r="Z221" i="30"/>
  <c r="J222" i="30"/>
  <c r="Q222" i="30" s="1"/>
  <c r="R222" i="30"/>
  <c r="Z223" i="30"/>
  <c r="J224" i="30"/>
  <c r="Q224" i="30" s="1"/>
  <c r="R224" i="30"/>
  <c r="Z225" i="30"/>
  <c r="J226" i="30"/>
  <c r="Q226" i="30" s="1"/>
  <c r="R226" i="30"/>
  <c r="Z227" i="30"/>
  <c r="J228" i="30"/>
  <c r="Q228" i="30" s="1"/>
  <c r="R228" i="30"/>
  <c r="Z229" i="30"/>
  <c r="J230" i="30"/>
  <c r="Q230" i="30" s="1"/>
  <c r="R230" i="30"/>
  <c r="Z231" i="30"/>
  <c r="J232" i="30"/>
  <c r="Q232" i="30" s="1"/>
  <c r="R232" i="30"/>
  <c r="Z233" i="30"/>
  <c r="J234" i="30"/>
  <c r="Q234" i="30" s="1"/>
  <c r="R234" i="30"/>
  <c r="Z235" i="30"/>
  <c r="J236" i="30"/>
  <c r="Q236" i="30" s="1"/>
  <c r="R236" i="30"/>
  <c r="Z237" i="30"/>
  <c r="J238" i="30"/>
  <c r="Q238" i="30" s="1"/>
  <c r="R238" i="30"/>
  <c r="Z239" i="30"/>
  <c r="J240" i="30"/>
  <c r="Q240" i="30" s="1"/>
  <c r="R240" i="30"/>
  <c r="Z241" i="30"/>
  <c r="J242" i="30"/>
  <c r="Q242" i="30" s="1"/>
  <c r="R242" i="30"/>
  <c r="Z243" i="30"/>
  <c r="J244" i="30"/>
  <c r="Q244" i="30" s="1"/>
  <c r="R244" i="30"/>
  <c r="Z245" i="30"/>
  <c r="J246" i="30"/>
  <c r="Q246" i="30" s="1"/>
  <c r="R246" i="30"/>
  <c r="Z247" i="30"/>
  <c r="J248" i="30"/>
  <c r="Q248" i="30" s="1"/>
  <c r="R248" i="30"/>
  <c r="Z249" i="30"/>
  <c r="J250" i="30"/>
  <c r="Q250" i="30" s="1"/>
  <c r="R250" i="30"/>
  <c r="Z251" i="30"/>
  <c r="J252" i="30"/>
  <c r="Q252" i="30" s="1"/>
  <c r="R252" i="30"/>
  <c r="Z253" i="30"/>
  <c r="J254" i="30"/>
  <c r="Q254" i="30" s="1"/>
  <c r="R254" i="30"/>
  <c r="Z255" i="30"/>
  <c r="J256" i="30"/>
  <c r="Q256" i="30" s="1"/>
  <c r="R256" i="30"/>
  <c r="Z257" i="30"/>
  <c r="J258" i="30"/>
  <c r="Q258" i="30" s="1"/>
  <c r="R258" i="30"/>
  <c r="Z259" i="30"/>
  <c r="J260" i="30"/>
  <c r="Q260" i="30" s="1"/>
  <c r="R260" i="30"/>
  <c r="Z261" i="30"/>
  <c r="J262" i="30"/>
  <c r="Q262" i="30" s="1"/>
  <c r="R262" i="30"/>
  <c r="Z263" i="30"/>
  <c r="J264" i="30"/>
  <c r="Q264" i="30" s="1"/>
  <c r="R264" i="30"/>
  <c r="Z265" i="30"/>
  <c r="J266" i="30"/>
  <c r="Q266" i="30" s="1"/>
  <c r="R266" i="30"/>
  <c r="Z267" i="30"/>
  <c r="J268" i="30"/>
  <c r="Q268" i="30" s="1"/>
  <c r="R268" i="30"/>
  <c r="Z269" i="30"/>
  <c r="J270" i="30"/>
  <c r="Q270" i="30" s="1"/>
  <c r="R270" i="30"/>
  <c r="Z271" i="30"/>
  <c r="J272" i="30"/>
  <c r="Q272" i="30" s="1"/>
  <c r="R272" i="30"/>
  <c r="Z273" i="30"/>
  <c r="J274" i="30"/>
  <c r="Q274" i="30" s="1"/>
  <c r="R274" i="30"/>
  <c r="Z275" i="30"/>
  <c r="J276" i="30"/>
  <c r="Q276" i="30" s="1"/>
  <c r="R276" i="30"/>
  <c r="Z277" i="30"/>
  <c r="J278" i="30"/>
  <c r="Q278" i="30" s="1"/>
  <c r="R278" i="30"/>
  <c r="Z279" i="30"/>
  <c r="J280" i="30"/>
  <c r="Q280" i="30" s="1"/>
  <c r="R280" i="30"/>
  <c r="Z281" i="30"/>
  <c r="J282" i="30"/>
  <c r="Q282" i="30" s="1"/>
  <c r="R282" i="30"/>
  <c r="Z283" i="30"/>
  <c r="J284" i="30"/>
  <c r="Q284" i="30" s="1"/>
  <c r="R284" i="30"/>
  <c r="Z285" i="30"/>
  <c r="J286" i="30"/>
  <c r="Q286" i="30" s="1"/>
  <c r="R286" i="30"/>
  <c r="Z287" i="30"/>
  <c r="J288" i="30"/>
  <c r="Q288" i="30" s="1"/>
  <c r="R288" i="30"/>
  <c r="Z289" i="30"/>
  <c r="Q210" i="30"/>
  <c r="J211" i="30"/>
  <c r="Q211" i="30" s="1"/>
  <c r="J213" i="30"/>
  <c r="Q213" i="30" s="1"/>
  <c r="J215" i="30"/>
  <c r="Q215" i="30" s="1"/>
  <c r="J217" i="30"/>
  <c r="Q217" i="30" s="1"/>
  <c r="J219" i="30"/>
  <c r="Q219" i="30" s="1"/>
  <c r="J221" i="30"/>
  <c r="Q221" i="30" s="1"/>
  <c r="J223" i="30"/>
  <c r="Q223" i="30" s="1"/>
  <c r="J225" i="30"/>
  <c r="Q225" i="30" s="1"/>
  <c r="J227" i="30"/>
  <c r="Q227" i="30" s="1"/>
  <c r="J229" i="30"/>
  <c r="Q229" i="30" s="1"/>
  <c r="J231" i="30"/>
  <c r="Q231" i="30" s="1"/>
  <c r="J233" i="30"/>
  <c r="Q233" i="30" s="1"/>
  <c r="J235" i="30"/>
  <c r="Q235" i="30" s="1"/>
  <c r="J237" i="30"/>
  <c r="Q237" i="30" s="1"/>
  <c r="J239" i="30"/>
  <c r="Q239" i="30" s="1"/>
  <c r="J241" i="30"/>
  <c r="Q241" i="30" s="1"/>
  <c r="J243" i="30"/>
  <c r="Q243" i="30" s="1"/>
  <c r="J245" i="30"/>
  <c r="Q245" i="30" s="1"/>
  <c r="J247" i="30"/>
  <c r="Q247" i="30" s="1"/>
  <c r="J249" i="30"/>
  <c r="Q249" i="30" s="1"/>
  <c r="J251" i="30"/>
  <c r="Q251" i="30" s="1"/>
  <c r="J253" i="30"/>
  <c r="Q253" i="30" s="1"/>
  <c r="J255" i="30"/>
  <c r="Q255" i="30" s="1"/>
  <c r="J257" i="30"/>
  <c r="Q257" i="30" s="1"/>
  <c r="J259" i="30"/>
  <c r="Q259" i="30" s="1"/>
  <c r="J261" i="30"/>
  <c r="Q261" i="30" s="1"/>
  <c r="J263" i="30"/>
  <c r="Q263" i="30" s="1"/>
  <c r="J265" i="30"/>
  <c r="Q265" i="30" s="1"/>
  <c r="J267" i="30"/>
  <c r="Q267" i="30" s="1"/>
  <c r="J269" i="30"/>
  <c r="Q269" i="30" s="1"/>
  <c r="J271" i="30"/>
  <c r="Q271" i="30" s="1"/>
  <c r="J273" i="30"/>
  <c r="Q273" i="30" s="1"/>
  <c r="J275" i="30"/>
  <c r="Q275" i="30" s="1"/>
  <c r="J277" i="30"/>
  <c r="Q277" i="30" s="1"/>
  <c r="J279" i="30"/>
  <c r="Q279" i="30" s="1"/>
  <c r="J281" i="30"/>
  <c r="Q281" i="30" s="1"/>
  <c r="J283" i="30"/>
  <c r="Q283" i="30" s="1"/>
  <c r="J285" i="30"/>
  <c r="Q285" i="30" s="1"/>
  <c r="J287" i="30"/>
  <c r="Q287" i="30" s="1"/>
  <c r="J289" i="30"/>
  <c r="Q289" i="30" s="1"/>
  <c r="Z290" i="30"/>
  <c r="R290" i="30"/>
  <c r="J290" i="30"/>
  <c r="Q290" i="30" s="1"/>
  <c r="Z291" i="30"/>
  <c r="J292" i="30"/>
  <c r="Q292" i="30" s="1"/>
  <c r="R292" i="30"/>
  <c r="Z293" i="30"/>
  <c r="J294" i="30"/>
  <c r="Q294" i="30" s="1"/>
  <c r="R294" i="30"/>
  <c r="Z295" i="30"/>
  <c r="J296" i="30"/>
  <c r="Q296" i="30" s="1"/>
  <c r="R296" i="30"/>
  <c r="Z297" i="30"/>
  <c r="J298" i="30"/>
  <c r="Q298" i="30" s="1"/>
  <c r="R298" i="30"/>
  <c r="Z299" i="30"/>
  <c r="J300" i="30"/>
  <c r="Q300" i="30" s="1"/>
  <c r="R300" i="30"/>
  <c r="Z301" i="30"/>
  <c r="J302" i="30"/>
  <c r="Q302" i="30" s="1"/>
  <c r="R302" i="30"/>
  <c r="Z303" i="30"/>
  <c r="J304" i="30"/>
  <c r="Q304" i="30" s="1"/>
  <c r="R304" i="30"/>
  <c r="Z305" i="30"/>
  <c r="J306" i="30"/>
  <c r="Q306" i="30" s="1"/>
  <c r="R306" i="30"/>
  <c r="Z307" i="30"/>
  <c r="J308" i="30"/>
  <c r="Q308" i="30" s="1"/>
  <c r="R308" i="30"/>
  <c r="Z309" i="30"/>
  <c r="J310" i="30"/>
  <c r="Q310" i="30" s="1"/>
  <c r="R310" i="30"/>
  <c r="Z311" i="30"/>
  <c r="J312" i="30"/>
  <c r="Q312" i="30" s="1"/>
  <c r="R312" i="30"/>
  <c r="Z313" i="30"/>
  <c r="J314" i="30"/>
  <c r="Q314" i="30" s="1"/>
  <c r="R314" i="30"/>
  <c r="Z315" i="30"/>
  <c r="J316" i="30"/>
  <c r="Q316" i="30" s="1"/>
  <c r="R316" i="30"/>
  <c r="Z317" i="30"/>
  <c r="J318" i="30"/>
  <c r="Q318" i="30" s="1"/>
  <c r="R318" i="30"/>
  <c r="Z319" i="30"/>
  <c r="J320" i="30"/>
  <c r="Q320" i="30" s="1"/>
  <c r="R320" i="30"/>
  <c r="Z321" i="30"/>
  <c r="J322" i="30"/>
  <c r="Q322" i="30" s="1"/>
  <c r="R322" i="30"/>
  <c r="Z323" i="30"/>
  <c r="J324" i="30"/>
  <c r="Q324" i="30" s="1"/>
  <c r="R324" i="30"/>
  <c r="Z325" i="30"/>
  <c r="J326" i="30"/>
  <c r="Q326" i="30" s="1"/>
  <c r="R326" i="30"/>
  <c r="Z327" i="30"/>
  <c r="J328" i="30"/>
  <c r="Q328" i="30" s="1"/>
  <c r="R328" i="30"/>
  <c r="Z329" i="30"/>
  <c r="J330" i="30"/>
  <c r="Q330" i="30" s="1"/>
  <c r="R330" i="30"/>
  <c r="Z331" i="30"/>
  <c r="J332" i="30"/>
  <c r="Q332" i="30" s="1"/>
  <c r="R332" i="30"/>
  <c r="Z333" i="30"/>
  <c r="J334" i="30"/>
  <c r="Q334" i="30" s="1"/>
  <c r="R334" i="30"/>
  <c r="Z335" i="30"/>
  <c r="J336" i="30"/>
  <c r="Q336" i="30" s="1"/>
  <c r="R336" i="30"/>
  <c r="Z337" i="30"/>
  <c r="J338" i="30"/>
  <c r="Q338" i="30" s="1"/>
  <c r="R338" i="30"/>
  <c r="Z339" i="30"/>
  <c r="J340" i="30"/>
  <c r="Q340" i="30" s="1"/>
  <c r="R340" i="30"/>
  <c r="Z341" i="30"/>
  <c r="J342" i="30"/>
  <c r="Q342" i="30" s="1"/>
  <c r="R342" i="30"/>
  <c r="Z343" i="30"/>
  <c r="J344" i="30"/>
  <c r="Q344" i="30" s="1"/>
  <c r="R344" i="30"/>
  <c r="Z345" i="30"/>
  <c r="J346" i="30"/>
  <c r="Q346" i="30" s="1"/>
  <c r="R346" i="30"/>
  <c r="Z347" i="30"/>
  <c r="J348" i="30"/>
  <c r="Q348" i="30" s="1"/>
  <c r="R348" i="30"/>
  <c r="Z349" i="30"/>
  <c r="J350" i="30"/>
  <c r="Q350" i="30" s="1"/>
  <c r="R350" i="30"/>
  <c r="Z351" i="30"/>
  <c r="J352" i="30"/>
  <c r="Q352" i="30" s="1"/>
  <c r="R352" i="30"/>
  <c r="Z353" i="30"/>
  <c r="J354" i="30"/>
  <c r="Q354" i="30" s="1"/>
  <c r="R354" i="30"/>
  <c r="Z355" i="30"/>
  <c r="J356" i="30"/>
  <c r="Q356" i="30" s="1"/>
  <c r="R356" i="30"/>
  <c r="Z357" i="30"/>
  <c r="J358" i="30"/>
  <c r="Q358" i="30" s="1"/>
  <c r="R358" i="30"/>
  <c r="Z359" i="30"/>
  <c r="J360" i="30"/>
  <c r="Q360" i="30" s="1"/>
  <c r="R360" i="30"/>
  <c r="Z361" i="30"/>
  <c r="J362" i="30"/>
  <c r="Q362" i="30" s="1"/>
  <c r="R362" i="30"/>
  <c r="Z363" i="30"/>
  <c r="J364" i="30"/>
  <c r="Q364" i="30" s="1"/>
  <c r="R364" i="30"/>
  <c r="Z365" i="30"/>
  <c r="J366" i="30"/>
  <c r="Q366" i="30" s="1"/>
  <c r="R366" i="30"/>
  <c r="Z367" i="30"/>
  <c r="J368" i="30"/>
  <c r="Q368" i="30" s="1"/>
  <c r="R368" i="30"/>
  <c r="Z369" i="30"/>
  <c r="J370" i="30"/>
  <c r="Q370" i="30" s="1"/>
  <c r="R370" i="30"/>
  <c r="Z371" i="30"/>
  <c r="J372" i="30"/>
  <c r="Q372" i="30" s="1"/>
  <c r="R372" i="30"/>
  <c r="Z373" i="30"/>
  <c r="J374" i="30"/>
  <c r="Q374" i="30" s="1"/>
  <c r="R374" i="30"/>
  <c r="Z375" i="30"/>
  <c r="J376" i="30"/>
  <c r="Q376" i="30" s="1"/>
  <c r="R376" i="30"/>
  <c r="Z377" i="30"/>
  <c r="J378" i="30"/>
  <c r="Q378" i="30" s="1"/>
  <c r="R378" i="30"/>
  <c r="Z379" i="30"/>
  <c r="J380" i="30"/>
  <c r="Q380" i="30" s="1"/>
  <c r="R380" i="30"/>
  <c r="Z381" i="30"/>
  <c r="J382" i="30"/>
  <c r="Q382" i="30" s="1"/>
  <c r="R382" i="30"/>
  <c r="Z383" i="30"/>
  <c r="J384" i="30"/>
  <c r="Q384" i="30" s="1"/>
  <c r="R384" i="30"/>
  <c r="Z385" i="30"/>
  <c r="J386" i="30"/>
  <c r="Q386" i="30" s="1"/>
  <c r="R386" i="30"/>
  <c r="Z387" i="30"/>
  <c r="J388" i="30"/>
  <c r="Q388" i="30" s="1"/>
  <c r="R388" i="30"/>
  <c r="Z389" i="30"/>
  <c r="J390" i="30"/>
  <c r="Q390" i="30" s="1"/>
  <c r="R390" i="30"/>
  <c r="Z391" i="30"/>
  <c r="J392" i="30"/>
  <c r="Q392" i="30" s="1"/>
  <c r="R392" i="30"/>
  <c r="Z393" i="30"/>
  <c r="J394" i="30"/>
  <c r="Q394" i="30" s="1"/>
  <c r="R394" i="30"/>
  <c r="Z395" i="30"/>
  <c r="J396" i="30"/>
  <c r="Q396" i="30" s="1"/>
  <c r="R396" i="30"/>
  <c r="Z397" i="30"/>
  <c r="J398" i="30"/>
  <c r="Q398" i="30" s="1"/>
  <c r="R398" i="30"/>
  <c r="Z399" i="30"/>
  <c r="J400" i="30"/>
  <c r="Q400" i="30" s="1"/>
  <c r="R400" i="30"/>
  <c r="B491" i="30"/>
  <c r="B492" i="30" s="1"/>
  <c r="B493" i="30" s="1"/>
  <c r="B494" i="30" s="1"/>
  <c r="B495" i="30" s="1"/>
  <c r="B496" i="30" s="1"/>
  <c r="B497" i="30" s="1"/>
  <c r="B498" i="30" s="1"/>
  <c r="B499" i="30" s="1"/>
  <c r="B500" i="30" s="1"/>
  <c r="B501" i="30" s="1"/>
  <c r="B502" i="30" s="1"/>
  <c r="B503" i="30" s="1"/>
  <c r="B504" i="30" s="1"/>
  <c r="B505" i="30" s="1"/>
  <c r="B506" i="30" s="1"/>
  <c r="B507" i="30" s="1"/>
  <c r="B508" i="30" s="1"/>
  <c r="B509" i="30" s="1"/>
  <c r="B510" i="30" s="1"/>
  <c r="B511" i="30" s="1"/>
  <c r="B512" i="30" s="1"/>
  <c r="B513" i="30" s="1"/>
  <c r="B514" i="30" s="1"/>
  <c r="B515" i="30" s="1"/>
  <c r="B516" i="30" s="1"/>
  <c r="B517" i="30" s="1"/>
  <c r="B518" i="30" s="1"/>
  <c r="B519" i="30" s="1"/>
  <c r="B520" i="30" s="1"/>
  <c r="B521" i="30" s="1"/>
  <c r="B522" i="30" s="1"/>
  <c r="B523" i="30" s="1"/>
  <c r="B524" i="30" s="1"/>
  <c r="B525" i="30" s="1"/>
  <c r="B526" i="30" s="1"/>
  <c r="B527" i="30" s="1"/>
  <c r="B528" i="30" s="1"/>
  <c r="B529" i="30" s="1"/>
  <c r="B530" i="30" s="1"/>
  <c r="B531" i="30" s="1"/>
  <c r="B532" i="30" s="1"/>
  <c r="B533" i="30" s="1"/>
  <c r="B534" i="30" s="1"/>
  <c r="B535" i="30" s="1"/>
  <c r="B536" i="30" s="1"/>
  <c r="B537" i="30" s="1"/>
  <c r="B538" i="30" s="1"/>
  <c r="B539" i="30" s="1"/>
  <c r="B540" i="30" s="1"/>
  <c r="B541" i="30" s="1"/>
  <c r="B542" i="30" s="1"/>
  <c r="B543" i="30" s="1"/>
  <c r="B544" i="30" s="1"/>
  <c r="B545" i="30" s="1"/>
  <c r="B546" i="30" s="1"/>
  <c r="B547" i="30" s="1"/>
  <c r="B548" i="30" s="1"/>
  <c r="B549" i="30" s="1"/>
  <c r="B550" i="30" s="1"/>
  <c r="B551" i="30" s="1"/>
  <c r="B552" i="30" s="1"/>
  <c r="B553" i="30" s="1"/>
  <c r="B554" i="30" s="1"/>
  <c r="B555" i="30" s="1"/>
  <c r="B556" i="30" s="1"/>
  <c r="B557" i="30" s="1"/>
  <c r="B558" i="30" s="1"/>
  <c r="B559" i="30" s="1"/>
  <c r="B560" i="30" s="1"/>
  <c r="B561" i="30" s="1"/>
  <c r="B562" i="30" s="1"/>
  <c r="B563" i="30" s="1"/>
  <c r="B564" i="30" s="1"/>
  <c r="B565" i="30" s="1"/>
  <c r="B566" i="30" s="1"/>
  <c r="B567" i="30" s="1"/>
  <c r="B568" i="30" s="1"/>
  <c r="B569" i="30" s="1"/>
  <c r="B570" i="30" s="1"/>
  <c r="B571" i="30" s="1"/>
  <c r="B572" i="30" s="1"/>
  <c r="B573" i="30" s="1"/>
  <c r="B574" i="30" s="1"/>
  <c r="B449" i="30"/>
  <c r="B450" i="30" s="1"/>
  <c r="B451" i="30" s="1"/>
  <c r="B452" i="30" s="1"/>
  <c r="B453" i="30" s="1"/>
  <c r="B454" i="30" s="1"/>
  <c r="B455" i="30" s="1"/>
  <c r="B456" i="30" s="1"/>
  <c r="B457" i="30" s="1"/>
  <c r="B458" i="30" s="1"/>
  <c r="B459" i="30" s="1"/>
  <c r="J291" i="30"/>
  <c r="Q291" i="30" s="1"/>
  <c r="J293" i="30"/>
  <c r="Q293" i="30" s="1"/>
  <c r="J295" i="30"/>
  <c r="Q295" i="30" s="1"/>
  <c r="J297" i="30"/>
  <c r="Q297" i="30" s="1"/>
  <c r="J299" i="30"/>
  <c r="Q299" i="30" s="1"/>
  <c r="J301" i="30"/>
  <c r="Q301" i="30" s="1"/>
  <c r="J303" i="30"/>
  <c r="Q303" i="30" s="1"/>
  <c r="J305" i="30"/>
  <c r="Q305" i="30" s="1"/>
  <c r="J307" i="30"/>
  <c r="Q307" i="30" s="1"/>
  <c r="J309" i="30"/>
  <c r="Q309" i="30" s="1"/>
  <c r="J311" i="30"/>
  <c r="Q311" i="30" s="1"/>
  <c r="J313" i="30"/>
  <c r="Q313" i="30" s="1"/>
  <c r="J315" i="30"/>
  <c r="Q315" i="30" s="1"/>
  <c r="J317" i="30"/>
  <c r="Q317" i="30" s="1"/>
  <c r="J319" i="30"/>
  <c r="Q319" i="30" s="1"/>
  <c r="J321" i="30"/>
  <c r="Q321" i="30" s="1"/>
  <c r="J323" i="30"/>
  <c r="Q323" i="30" s="1"/>
  <c r="J325" i="30"/>
  <c r="Q325" i="30" s="1"/>
  <c r="J327" i="30"/>
  <c r="Q327" i="30" s="1"/>
  <c r="J329" i="30"/>
  <c r="Q329" i="30" s="1"/>
  <c r="J331" i="30"/>
  <c r="Q331" i="30" s="1"/>
  <c r="J333" i="30"/>
  <c r="Q333" i="30" s="1"/>
  <c r="J335" i="30"/>
  <c r="Q335" i="30" s="1"/>
  <c r="J337" i="30"/>
  <c r="Q337" i="30" s="1"/>
  <c r="J339" i="30"/>
  <c r="Q339" i="30" s="1"/>
  <c r="J341" i="30"/>
  <c r="Q341" i="30" s="1"/>
  <c r="J343" i="30"/>
  <c r="Q343" i="30" s="1"/>
  <c r="J345" i="30"/>
  <c r="Q345" i="30" s="1"/>
  <c r="J347" i="30"/>
  <c r="Q347" i="30" s="1"/>
  <c r="J349" i="30"/>
  <c r="Q349" i="30" s="1"/>
  <c r="J351" i="30"/>
  <c r="Q351" i="30" s="1"/>
  <c r="J353" i="30"/>
  <c r="Q353" i="30" s="1"/>
  <c r="J355" i="30"/>
  <c r="Q355" i="30" s="1"/>
  <c r="J357" i="30"/>
  <c r="Q357" i="30" s="1"/>
  <c r="J359" i="30"/>
  <c r="Q359" i="30" s="1"/>
  <c r="J361" i="30"/>
  <c r="Q361" i="30" s="1"/>
  <c r="J363" i="30"/>
  <c r="Q363" i="30" s="1"/>
  <c r="J365" i="30"/>
  <c r="Q365" i="30" s="1"/>
  <c r="J367" i="30"/>
  <c r="Q367" i="30" s="1"/>
  <c r="J369" i="30"/>
  <c r="Q369" i="30" s="1"/>
  <c r="J371" i="30"/>
  <c r="Q371" i="30" s="1"/>
  <c r="J373" i="30"/>
  <c r="Q373" i="30" s="1"/>
  <c r="J375" i="30"/>
  <c r="Q375" i="30" s="1"/>
  <c r="J377" i="30"/>
  <c r="Q377" i="30" s="1"/>
  <c r="J379" i="30"/>
  <c r="Q379" i="30" s="1"/>
  <c r="J381" i="30"/>
  <c r="Q381" i="30" s="1"/>
  <c r="J383" i="30"/>
  <c r="Q383" i="30" s="1"/>
  <c r="J385" i="30"/>
  <c r="Q385" i="30" s="1"/>
  <c r="J387" i="30"/>
  <c r="Q387" i="30" s="1"/>
  <c r="J389" i="30"/>
  <c r="Q389" i="30" s="1"/>
  <c r="J391" i="30"/>
  <c r="Q391" i="30" s="1"/>
  <c r="J393" i="30"/>
  <c r="Q393" i="30" s="1"/>
  <c r="J395" i="30"/>
  <c r="Q395" i="30" s="1"/>
  <c r="J397" i="30"/>
  <c r="Q397" i="30" s="1"/>
  <c r="J399" i="30"/>
  <c r="Q399" i="30" s="1"/>
  <c r="Z401" i="30"/>
  <c r="J402" i="30"/>
  <c r="Q402" i="30" s="1"/>
  <c r="R402" i="30"/>
  <c r="Z403" i="30"/>
  <c r="J404" i="30"/>
  <c r="Q404" i="30" s="1"/>
  <c r="R404" i="30"/>
  <c r="J406" i="30"/>
  <c r="Q406" i="30" s="1"/>
  <c r="R406" i="30"/>
  <c r="Z407" i="30"/>
  <c r="J408" i="30"/>
  <c r="Q408" i="30" s="1"/>
  <c r="R408" i="30"/>
  <c r="Z409" i="30"/>
  <c r="J410" i="30"/>
  <c r="Q410" i="30" s="1"/>
  <c r="R410" i="30"/>
  <c r="Z411" i="30"/>
  <c r="J412" i="30"/>
  <c r="Q412" i="30" s="1"/>
  <c r="R412" i="30"/>
  <c r="Z413" i="30"/>
  <c r="J414" i="30"/>
  <c r="Q414" i="30" s="1"/>
  <c r="R414" i="30"/>
  <c r="Z415" i="30"/>
  <c r="J416" i="30"/>
  <c r="Q416" i="30" s="1"/>
  <c r="R416" i="30"/>
  <c r="Z417" i="30"/>
  <c r="J418" i="30"/>
  <c r="Q418" i="30" s="1"/>
  <c r="R418" i="30"/>
  <c r="Z419" i="30"/>
  <c r="J420" i="30"/>
  <c r="Q420" i="30" s="1"/>
  <c r="R420" i="30"/>
  <c r="Z421" i="30"/>
  <c r="J422" i="30"/>
  <c r="Q422" i="30" s="1"/>
  <c r="R422" i="30"/>
  <c r="Z423" i="30"/>
  <c r="J424" i="30"/>
  <c r="Q424" i="30" s="1"/>
  <c r="R424" i="30"/>
  <c r="Z425" i="30"/>
  <c r="J426" i="30"/>
  <c r="Q426" i="30" s="1"/>
  <c r="R426" i="30"/>
  <c r="Z427" i="30"/>
  <c r="J428" i="30"/>
  <c r="Q428" i="30" s="1"/>
  <c r="R428" i="30"/>
  <c r="Z429" i="30"/>
  <c r="J430" i="30"/>
  <c r="Q430" i="30" s="1"/>
  <c r="R430" i="30"/>
  <c r="Z431" i="30"/>
  <c r="J432" i="30"/>
  <c r="Q432" i="30" s="1"/>
  <c r="R432" i="30"/>
  <c r="Z433" i="30"/>
  <c r="J434" i="30"/>
  <c r="Q434" i="30" s="1"/>
  <c r="R434" i="30"/>
  <c r="Z435" i="30"/>
  <c r="J436" i="30"/>
  <c r="Q436" i="30" s="1"/>
  <c r="R436" i="30"/>
  <c r="Z437" i="30"/>
  <c r="J438" i="30"/>
  <c r="Q438" i="30" s="1"/>
  <c r="R438" i="30"/>
  <c r="Z439" i="30"/>
  <c r="J440" i="30"/>
  <c r="Q440" i="30" s="1"/>
  <c r="R440" i="30"/>
  <c r="Z441" i="30"/>
  <c r="J442" i="30"/>
  <c r="Q442" i="30" s="1"/>
  <c r="R442" i="30"/>
  <c r="Z443" i="30"/>
  <c r="J444" i="30"/>
  <c r="Q444" i="30" s="1"/>
  <c r="R444" i="30"/>
  <c r="Z445" i="30"/>
  <c r="J446" i="30"/>
  <c r="Q446" i="30" s="1"/>
  <c r="R446" i="30"/>
  <c r="Z447" i="30"/>
  <c r="J448" i="30"/>
  <c r="Q448" i="30" s="1"/>
  <c r="R448" i="30"/>
  <c r="Z449" i="30"/>
  <c r="J450" i="30"/>
  <c r="Q450" i="30" s="1"/>
  <c r="R450" i="30"/>
  <c r="Z451" i="30"/>
  <c r="J452" i="30"/>
  <c r="Q452" i="30" s="1"/>
  <c r="R452" i="30"/>
  <c r="J401" i="30"/>
  <c r="Q401" i="30" s="1"/>
  <c r="J403" i="30"/>
  <c r="Q403" i="30" s="1"/>
  <c r="J405" i="30"/>
  <c r="Q405" i="30" s="1"/>
  <c r="R405" i="30"/>
  <c r="V405" i="30" s="1"/>
  <c r="J407" i="30"/>
  <c r="Q407" i="30" s="1"/>
  <c r="J409" i="30"/>
  <c r="Q409" i="30" s="1"/>
  <c r="J411" i="30"/>
  <c r="Q411" i="30" s="1"/>
  <c r="J413" i="30"/>
  <c r="Q413" i="30" s="1"/>
  <c r="J415" i="30"/>
  <c r="Q415" i="30" s="1"/>
  <c r="J417" i="30"/>
  <c r="Q417" i="30" s="1"/>
  <c r="J419" i="30"/>
  <c r="Q419" i="30" s="1"/>
  <c r="J421" i="30"/>
  <c r="Q421" i="30" s="1"/>
  <c r="J423" i="30"/>
  <c r="Q423" i="30" s="1"/>
  <c r="J425" i="30"/>
  <c r="Q425" i="30" s="1"/>
  <c r="J427" i="30"/>
  <c r="Q427" i="30" s="1"/>
  <c r="J429" i="30"/>
  <c r="Q429" i="30" s="1"/>
  <c r="J431" i="30"/>
  <c r="Q431" i="30" s="1"/>
  <c r="J433" i="30"/>
  <c r="Q433" i="30" s="1"/>
  <c r="J435" i="30"/>
  <c r="Q435" i="30" s="1"/>
  <c r="J437" i="30"/>
  <c r="Q437" i="30" s="1"/>
  <c r="J439" i="30"/>
  <c r="Q439" i="30" s="1"/>
  <c r="J441" i="30"/>
  <c r="Q441" i="30" s="1"/>
  <c r="J443" i="30"/>
  <c r="Q443" i="30" s="1"/>
  <c r="J445" i="30"/>
  <c r="Q445" i="30" s="1"/>
  <c r="J447" i="30"/>
  <c r="Q447" i="30" s="1"/>
  <c r="J449" i="30"/>
  <c r="Q449" i="30" s="1"/>
  <c r="J451" i="30"/>
  <c r="Q451" i="30" s="1"/>
  <c r="J453" i="30"/>
  <c r="Q453" i="30" s="1"/>
  <c r="R453" i="30"/>
  <c r="J454" i="30"/>
  <c r="Q454" i="30" s="1"/>
  <c r="R454" i="30"/>
  <c r="Z455" i="30"/>
  <c r="J456" i="30"/>
  <c r="Q456" i="30" s="1"/>
  <c r="R456" i="30"/>
  <c r="Z457" i="30"/>
  <c r="J458" i="30"/>
  <c r="Q458" i="30" s="1"/>
  <c r="R458" i="30"/>
  <c r="Z459" i="30"/>
  <c r="Z460" i="30"/>
  <c r="Z461" i="30"/>
  <c r="Z462" i="30"/>
  <c r="Z463" i="30"/>
  <c r="Z464" i="30"/>
  <c r="Z465" i="30"/>
  <c r="Z466" i="30"/>
  <c r="Z467" i="30"/>
  <c r="Z468" i="30"/>
  <c r="Z469" i="30"/>
  <c r="Z470" i="30"/>
  <c r="Z471" i="30"/>
  <c r="Z472" i="30"/>
  <c r="Z473" i="30"/>
  <c r="Z474" i="30"/>
  <c r="Z475" i="30"/>
  <c r="Z476" i="30"/>
  <c r="Z477" i="30"/>
  <c r="Z478" i="30"/>
  <c r="Z479" i="30"/>
  <c r="Z480" i="30"/>
  <c r="Z481" i="30"/>
  <c r="Z482" i="30"/>
  <c r="Z483" i="30"/>
  <c r="Z484" i="30"/>
  <c r="Z485" i="30"/>
  <c r="Z486" i="30"/>
  <c r="Z487" i="30"/>
  <c r="Z488" i="30"/>
  <c r="Z489" i="30"/>
  <c r="Z490" i="30"/>
  <c r="J491" i="30"/>
  <c r="Q491" i="30" s="1"/>
  <c r="R491" i="30"/>
  <c r="Z491" i="30"/>
  <c r="J492" i="30"/>
  <c r="Q492" i="30" s="1"/>
  <c r="R492" i="30"/>
  <c r="Z492" i="30"/>
  <c r="J493" i="30"/>
  <c r="Q493" i="30" s="1"/>
  <c r="R493" i="30"/>
  <c r="Z493" i="30"/>
  <c r="J494" i="30"/>
  <c r="Q494" i="30" s="1"/>
  <c r="R494" i="30"/>
  <c r="Z494" i="30"/>
  <c r="J495" i="30"/>
  <c r="Q495" i="30" s="1"/>
  <c r="R495" i="30"/>
  <c r="Z495" i="30"/>
  <c r="J496" i="30"/>
  <c r="Q496" i="30" s="1"/>
  <c r="R496" i="30"/>
  <c r="Z496" i="30"/>
  <c r="J497" i="30"/>
  <c r="Q497" i="30" s="1"/>
  <c r="R497" i="30"/>
  <c r="Z497" i="30"/>
  <c r="J498" i="30"/>
  <c r="Q498" i="30" s="1"/>
  <c r="R498" i="30"/>
  <c r="Z498" i="30"/>
  <c r="J499" i="30"/>
  <c r="Q499" i="30" s="1"/>
  <c r="R499" i="30"/>
  <c r="Z499" i="30"/>
  <c r="J500" i="30"/>
  <c r="Q500" i="30" s="1"/>
  <c r="R500" i="30"/>
  <c r="Z500" i="30"/>
  <c r="J501" i="30"/>
  <c r="Q501" i="30" s="1"/>
  <c r="R501" i="30"/>
  <c r="Z501" i="30"/>
  <c r="J502" i="30"/>
  <c r="Q502" i="30" s="1"/>
  <c r="R502" i="30"/>
  <c r="Z502" i="30"/>
  <c r="J503" i="30"/>
  <c r="Q503" i="30" s="1"/>
  <c r="R503" i="30"/>
  <c r="Z503" i="30"/>
  <c r="J504" i="30"/>
  <c r="Q504" i="30" s="1"/>
  <c r="R504" i="30"/>
  <c r="Z504" i="30"/>
  <c r="J505" i="30"/>
  <c r="Q505" i="30" s="1"/>
  <c r="R505" i="30"/>
  <c r="Z505" i="30"/>
  <c r="Z506" i="30"/>
  <c r="R506" i="30"/>
  <c r="J506" i="30"/>
  <c r="Q506" i="30" s="1"/>
  <c r="J455" i="30"/>
  <c r="Q455" i="30" s="1"/>
  <c r="J457" i="30"/>
  <c r="Q457" i="30" s="1"/>
  <c r="J459" i="30"/>
  <c r="Q459" i="30" s="1"/>
  <c r="J460" i="30"/>
  <c r="Q460" i="30" s="1"/>
  <c r="J461" i="30"/>
  <c r="Q461" i="30" s="1"/>
  <c r="J462" i="30"/>
  <c r="Q462" i="30" s="1"/>
  <c r="J463" i="30"/>
  <c r="Q463" i="30" s="1"/>
  <c r="J464" i="30"/>
  <c r="Q464" i="30" s="1"/>
  <c r="J465" i="30"/>
  <c r="Q465" i="30" s="1"/>
  <c r="J466" i="30"/>
  <c r="Q466" i="30" s="1"/>
  <c r="J467" i="30"/>
  <c r="Q467" i="30" s="1"/>
  <c r="J468" i="30"/>
  <c r="Q468" i="30" s="1"/>
  <c r="J469" i="30"/>
  <c r="Q469" i="30" s="1"/>
  <c r="J470" i="30"/>
  <c r="Q470" i="30" s="1"/>
  <c r="J471" i="30"/>
  <c r="Q471" i="30" s="1"/>
  <c r="J472" i="30"/>
  <c r="Q472" i="30" s="1"/>
  <c r="J473" i="30"/>
  <c r="Q473" i="30" s="1"/>
  <c r="J474" i="30"/>
  <c r="Q474" i="30" s="1"/>
  <c r="J475" i="30"/>
  <c r="Q475" i="30" s="1"/>
  <c r="J476" i="30"/>
  <c r="Q476" i="30" s="1"/>
  <c r="J477" i="30"/>
  <c r="Q477" i="30" s="1"/>
  <c r="J478" i="30"/>
  <c r="Q478" i="30" s="1"/>
  <c r="J479" i="30"/>
  <c r="Q479" i="30" s="1"/>
  <c r="J480" i="30"/>
  <c r="Q480" i="30" s="1"/>
  <c r="J481" i="30"/>
  <c r="Q481" i="30" s="1"/>
  <c r="J482" i="30"/>
  <c r="Q482" i="30" s="1"/>
  <c r="J483" i="30"/>
  <c r="Q483" i="30" s="1"/>
  <c r="J484" i="30"/>
  <c r="Q484" i="30" s="1"/>
  <c r="J485" i="30"/>
  <c r="Q485" i="30" s="1"/>
  <c r="J486" i="30"/>
  <c r="Q486" i="30" s="1"/>
  <c r="J487" i="30"/>
  <c r="Q487" i="30" s="1"/>
  <c r="J488" i="30"/>
  <c r="Q488" i="30" s="1"/>
  <c r="J489" i="30"/>
  <c r="Q489" i="30" s="1"/>
  <c r="J490" i="30"/>
  <c r="Q490" i="30" s="1"/>
  <c r="Z517" i="30"/>
  <c r="J518" i="30"/>
  <c r="Q518" i="30" s="1"/>
  <c r="R518" i="30"/>
  <c r="Z519" i="30"/>
  <c r="J520" i="30"/>
  <c r="Q520" i="30" s="1"/>
  <c r="R520" i="30"/>
  <c r="Z521" i="30"/>
  <c r="J522" i="30"/>
  <c r="Q522" i="30" s="1"/>
  <c r="R522" i="30"/>
  <c r="Z523" i="30"/>
  <c r="J524" i="30"/>
  <c r="Q524" i="30" s="1"/>
  <c r="R524" i="30"/>
  <c r="Z525" i="30"/>
  <c r="J526" i="30"/>
  <c r="Q526" i="30" s="1"/>
  <c r="R526" i="30"/>
  <c r="Z527" i="30"/>
  <c r="J528" i="30"/>
  <c r="Q528" i="30" s="1"/>
  <c r="R528" i="30"/>
  <c r="J507" i="30"/>
  <c r="Q507" i="30" s="1"/>
  <c r="R507" i="30"/>
  <c r="J508" i="30"/>
  <c r="Q508" i="30" s="1"/>
  <c r="R508" i="30"/>
  <c r="J509" i="30"/>
  <c r="Q509" i="30" s="1"/>
  <c r="R509" i="30"/>
  <c r="J510" i="30"/>
  <c r="Q510" i="30" s="1"/>
  <c r="R510" i="30"/>
  <c r="J511" i="30"/>
  <c r="Q511" i="30" s="1"/>
  <c r="R511" i="30"/>
  <c r="J512" i="30"/>
  <c r="Q512" i="30" s="1"/>
  <c r="R512" i="30"/>
  <c r="J513" i="30"/>
  <c r="Q513" i="30" s="1"/>
  <c r="R513" i="30"/>
  <c r="J514" i="30"/>
  <c r="Q514" i="30" s="1"/>
  <c r="R514" i="30"/>
  <c r="J515" i="30"/>
  <c r="Q515" i="30" s="1"/>
  <c r="R515" i="30"/>
  <c r="J516" i="30"/>
  <c r="Q516" i="30" s="1"/>
  <c r="R516" i="30"/>
  <c r="J517" i="30"/>
  <c r="Q517" i="30" s="1"/>
  <c r="J519" i="30"/>
  <c r="Q519" i="30" s="1"/>
  <c r="J521" i="30"/>
  <c r="Q521" i="30" s="1"/>
  <c r="J523" i="30"/>
  <c r="Q523" i="30" s="1"/>
  <c r="J525" i="30"/>
  <c r="Q525" i="30" s="1"/>
  <c r="J527" i="30"/>
  <c r="Q527" i="30" s="1"/>
  <c r="Z529" i="30"/>
  <c r="J529" i="30"/>
  <c r="Q529" i="30" s="1"/>
  <c r="R529" i="30"/>
  <c r="Z530" i="30"/>
  <c r="J531" i="30"/>
  <c r="R531" i="30"/>
  <c r="Z532" i="30"/>
  <c r="J533" i="30"/>
  <c r="Q533" i="30" s="1"/>
  <c r="R533" i="30"/>
  <c r="Z534" i="30"/>
  <c r="J535" i="30"/>
  <c r="Q535" i="30" s="1"/>
  <c r="R535" i="30"/>
  <c r="Z536" i="30"/>
  <c r="J537" i="30"/>
  <c r="Q537" i="30" s="1"/>
  <c r="R537" i="30"/>
  <c r="Z538" i="30"/>
  <c r="J539" i="30"/>
  <c r="Q539" i="30" s="1"/>
  <c r="R539" i="30"/>
  <c r="Z539" i="30"/>
  <c r="J540" i="30"/>
  <c r="Q540" i="30" s="1"/>
  <c r="R540" i="30"/>
  <c r="Z541" i="30"/>
  <c r="J542" i="30"/>
  <c r="Q542" i="30" s="1"/>
  <c r="R542" i="30"/>
  <c r="Z543" i="30"/>
  <c r="J544" i="30"/>
  <c r="Q544" i="30" s="1"/>
  <c r="R544" i="30"/>
  <c r="Z545" i="30"/>
  <c r="J546" i="30"/>
  <c r="Q546" i="30" s="1"/>
  <c r="Z547" i="30"/>
  <c r="J548" i="30"/>
  <c r="Q548" i="30" s="1"/>
  <c r="Z549" i="30"/>
  <c r="J550" i="30"/>
  <c r="Q550" i="30" s="1"/>
  <c r="Z551" i="30"/>
  <c r="J552" i="30"/>
  <c r="Q552" i="30" s="1"/>
  <c r="Z553" i="30"/>
  <c r="J554" i="30"/>
  <c r="Q554" i="30" s="1"/>
  <c r="R554" i="30"/>
  <c r="Z556" i="30"/>
  <c r="J530" i="30"/>
  <c r="Q530" i="30" s="1"/>
  <c r="Q531" i="30"/>
  <c r="J532" i="30"/>
  <c r="Q532" i="30" s="1"/>
  <c r="J534" i="30"/>
  <c r="Q534" i="30" s="1"/>
  <c r="J536" i="30"/>
  <c r="Q536" i="30" s="1"/>
  <c r="J538" i="30"/>
  <c r="Q538" i="30" s="1"/>
  <c r="J541" i="30"/>
  <c r="Q541" i="30" s="1"/>
  <c r="J543" i="30"/>
  <c r="Q543" i="30" s="1"/>
  <c r="J545" i="30"/>
  <c r="Q545" i="30" s="1"/>
  <c r="J547" i="30"/>
  <c r="Q547" i="30" s="1"/>
  <c r="J549" i="30"/>
  <c r="Q549" i="30" s="1"/>
  <c r="J551" i="30"/>
  <c r="Q551" i="30" s="1"/>
  <c r="J553" i="30"/>
  <c r="Q553" i="30" s="1"/>
  <c r="Z555" i="30"/>
  <c r="J555" i="30"/>
  <c r="Q555" i="30" s="1"/>
  <c r="J556" i="30"/>
  <c r="Q556" i="30" s="1"/>
  <c r="Z557" i="30"/>
  <c r="J558" i="30"/>
  <c r="Q558" i="30" s="1"/>
  <c r="Z559" i="30"/>
  <c r="J560" i="30"/>
  <c r="Q560" i="30" s="1"/>
  <c r="Z561" i="30"/>
  <c r="Z562" i="30"/>
  <c r="J562" i="30"/>
  <c r="Q562" i="30" s="1"/>
  <c r="R562" i="30"/>
  <c r="J557" i="30"/>
  <c r="Q557" i="30" s="1"/>
  <c r="J559" i="30"/>
  <c r="Q559" i="30" s="1"/>
  <c r="J561" i="30"/>
  <c r="Q561" i="30" s="1"/>
  <c r="Z564" i="30"/>
  <c r="J564" i="30"/>
  <c r="Q564" i="30" s="1"/>
  <c r="Z566" i="30"/>
  <c r="J566" i="30"/>
  <c r="Q566" i="30" s="1"/>
  <c r="Z568" i="30"/>
  <c r="J568" i="30"/>
  <c r="Q568" i="30" s="1"/>
  <c r="Z570" i="30"/>
  <c r="J570" i="30"/>
  <c r="Q570" i="30" s="1"/>
  <c r="Z572" i="30"/>
  <c r="J572" i="30"/>
  <c r="Q572" i="30" s="1"/>
  <c r="Z574" i="30"/>
  <c r="J574" i="30"/>
  <c r="Q574" i="30" s="1"/>
  <c r="J563" i="30"/>
  <c r="Q563" i="30" s="1"/>
  <c r="J565" i="30"/>
  <c r="Q565" i="30" s="1"/>
  <c r="J567" i="30"/>
  <c r="Q567" i="30" s="1"/>
  <c r="J569" i="30"/>
  <c r="Q569" i="30" s="1"/>
  <c r="J571" i="30"/>
  <c r="Q571" i="30" s="1"/>
  <c r="J573" i="30"/>
  <c r="Q573" i="30" s="1"/>
  <c r="AA551" i="30" l="1"/>
  <c r="S551" i="30"/>
  <c r="V551" i="30" s="1"/>
  <c r="W551" i="30" s="1"/>
  <c r="Y551" i="30" s="1"/>
  <c r="AA545" i="30"/>
  <c r="AC545" i="30" s="1"/>
  <c r="AD545" i="30" s="1"/>
  <c r="S545" i="30"/>
  <c r="V545" i="30" s="1"/>
  <c r="W545" i="30" s="1"/>
  <c r="Y545" i="30" s="1"/>
  <c r="AA554" i="30"/>
  <c r="AC554" i="30" s="1"/>
  <c r="AD554" i="30" s="1"/>
  <c r="S554" i="30"/>
  <c r="S542" i="30"/>
  <c r="V542" i="30" s="1"/>
  <c r="W542" i="30" s="1"/>
  <c r="Y542" i="30" s="1"/>
  <c r="AA542" i="30"/>
  <c r="AC542" i="30" s="1"/>
  <c r="AD542" i="30" s="1"/>
  <c r="AA527" i="30"/>
  <c r="S527" i="30"/>
  <c r="V527" i="30" s="1"/>
  <c r="W527" i="30" s="1"/>
  <c r="Y527" i="30" s="1"/>
  <c r="AA523" i="30"/>
  <c r="AC523" i="30" s="1"/>
  <c r="AD523" i="30" s="1"/>
  <c r="S523" i="30"/>
  <c r="V523" i="30" s="1"/>
  <c r="W523" i="30" s="1"/>
  <c r="Y523" i="30" s="1"/>
  <c r="AA519" i="30"/>
  <c r="S519" i="30"/>
  <c r="V519" i="30" s="1"/>
  <c r="W519" i="30" s="1"/>
  <c r="Y519" i="30" s="1"/>
  <c r="T515" i="30"/>
  <c r="AA515" i="30"/>
  <c r="AC515" i="30" s="1"/>
  <c r="AD515" i="30" s="1"/>
  <c r="S515" i="30"/>
  <c r="T511" i="30"/>
  <c r="AA511" i="30"/>
  <c r="AC511" i="30" s="1"/>
  <c r="AD511" i="30" s="1"/>
  <c r="S511" i="30"/>
  <c r="T509" i="30"/>
  <c r="AA509" i="30"/>
  <c r="AC509" i="30" s="1"/>
  <c r="AD509" i="30" s="1"/>
  <c r="S509" i="30"/>
  <c r="T507" i="30"/>
  <c r="AA507" i="30"/>
  <c r="AC507" i="30" s="1"/>
  <c r="AD507" i="30" s="1"/>
  <c r="S507" i="30"/>
  <c r="AA457" i="30"/>
  <c r="AC457" i="30" s="1"/>
  <c r="AD457" i="30" s="1"/>
  <c r="S457" i="30"/>
  <c r="V457" i="30" s="1"/>
  <c r="W457" i="30" s="1"/>
  <c r="Y457" i="30" s="1"/>
  <c r="T506" i="30"/>
  <c r="AA506" i="30"/>
  <c r="S506" i="30"/>
  <c r="AA504" i="30"/>
  <c r="AC504" i="30" s="1"/>
  <c r="AD504" i="30" s="1"/>
  <c r="S504" i="30"/>
  <c r="T504" i="30"/>
  <c r="AA500" i="30"/>
  <c r="AC500" i="30" s="1"/>
  <c r="AD500" i="30" s="1"/>
  <c r="S500" i="30"/>
  <c r="T500" i="30"/>
  <c r="AA496" i="30"/>
  <c r="S496" i="30"/>
  <c r="T496" i="30"/>
  <c r="AA492" i="30"/>
  <c r="S492" i="30"/>
  <c r="T492" i="30"/>
  <c r="S456" i="30"/>
  <c r="V456" i="30" s="1"/>
  <c r="W456" i="30" s="1"/>
  <c r="Y456" i="30" s="1"/>
  <c r="AA456" i="30"/>
  <c r="AC456" i="30" s="1"/>
  <c r="AD456" i="30" s="1"/>
  <c r="AA453" i="30"/>
  <c r="AC453" i="30" s="1"/>
  <c r="AD453" i="30" s="1"/>
  <c r="S453" i="30"/>
  <c r="V453" i="30" s="1"/>
  <c r="W453" i="30" s="1"/>
  <c r="Y453" i="30" s="1"/>
  <c r="AA451" i="30"/>
  <c r="AC451" i="30" s="1"/>
  <c r="AD451" i="30" s="1"/>
  <c r="S451" i="30"/>
  <c r="V451" i="30" s="1"/>
  <c r="W451" i="30" s="1"/>
  <c r="Y451" i="30" s="1"/>
  <c r="AA449" i="30"/>
  <c r="AC449" i="30" s="1"/>
  <c r="AD449" i="30" s="1"/>
  <c r="S449" i="30"/>
  <c r="V449" i="30" s="1"/>
  <c r="W449" i="30" s="1"/>
  <c r="Y449" i="30" s="1"/>
  <c r="AA447" i="30"/>
  <c r="AC447" i="30" s="1"/>
  <c r="AD447" i="30" s="1"/>
  <c r="S447" i="30"/>
  <c r="V447" i="30" s="1"/>
  <c r="W447" i="30" s="1"/>
  <c r="Y447" i="30" s="1"/>
  <c r="AA445" i="30"/>
  <c r="AC445" i="30" s="1"/>
  <c r="AD445" i="30" s="1"/>
  <c r="S445" i="30"/>
  <c r="V445" i="30" s="1"/>
  <c r="W445" i="30" s="1"/>
  <c r="Y445" i="30" s="1"/>
  <c r="AA443" i="30"/>
  <c r="AC443" i="30" s="1"/>
  <c r="AD443" i="30" s="1"/>
  <c r="S443" i="30"/>
  <c r="V443" i="30" s="1"/>
  <c r="W443" i="30" s="1"/>
  <c r="Y443" i="30" s="1"/>
  <c r="AA441" i="30"/>
  <c r="S441" i="30"/>
  <c r="V441" i="30" s="1"/>
  <c r="W441" i="30" s="1"/>
  <c r="Y441" i="30" s="1"/>
  <c r="AA439" i="30"/>
  <c r="AC439" i="30" s="1"/>
  <c r="AD439" i="30" s="1"/>
  <c r="S439" i="30"/>
  <c r="V439" i="30" s="1"/>
  <c r="W439" i="30" s="1"/>
  <c r="Y439" i="30" s="1"/>
  <c r="AA437" i="30"/>
  <c r="AC437" i="30" s="1"/>
  <c r="AD437" i="30" s="1"/>
  <c r="S437" i="30"/>
  <c r="V437" i="30" s="1"/>
  <c r="W437" i="30" s="1"/>
  <c r="Y437" i="30" s="1"/>
  <c r="AA435" i="30"/>
  <c r="AC435" i="30" s="1"/>
  <c r="AD435" i="30" s="1"/>
  <c r="S435" i="30"/>
  <c r="V435" i="30" s="1"/>
  <c r="W435" i="30" s="1"/>
  <c r="Y435" i="30" s="1"/>
  <c r="AA433" i="30"/>
  <c r="AC433" i="30" s="1"/>
  <c r="AD433" i="30" s="1"/>
  <c r="S433" i="30"/>
  <c r="V433" i="30" s="1"/>
  <c r="W433" i="30" s="1"/>
  <c r="Y433" i="30" s="1"/>
  <c r="AA431" i="30"/>
  <c r="AC431" i="30" s="1"/>
  <c r="AD431" i="30" s="1"/>
  <c r="S431" i="30"/>
  <c r="V431" i="30" s="1"/>
  <c r="W431" i="30" s="1"/>
  <c r="Y431" i="30" s="1"/>
  <c r="AA429" i="30"/>
  <c r="AC429" i="30" s="1"/>
  <c r="AD429" i="30" s="1"/>
  <c r="S429" i="30"/>
  <c r="V429" i="30" s="1"/>
  <c r="W429" i="30" s="1"/>
  <c r="Y429" i="30" s="1"/>
  <c r="AA427" i="30"/>
  <c r="AC427" i="30" s="1"/>
  <c r="AD427" i="30" s="1"/>
  <c r="S427" i="30"/>
  <c r="V427" i="30" s="1"/>
  <c r="W427" i="30" s="1"/>
  <c r="Y427" i="30" s="1"/>
  <c r="AA425" i="30"/>
  <c r="S425" i="30"/>
  <c r="V425" i="30" s="1"/>
  <c r="W425" i="30" s="1"/>
  <c r="Y425" i="30" s="1"/>
  <c r="AA423" i="30"/>
  <c r="AC423" i="30" s="1"/>
  <c r="AD423" i="30" s="1"/>
  <c r="S423" i="30"/>
  <c r="V423" i="30" s="1"/>
  <c r="W423" i="30" s="1"/>
  <c r="Y423" i="30" s="1"/>
  <c r="AA421" i="30"/>
  <c r="AC421" i="30" s="1"/>
  <c r="AD421" i="30" s="1"/>
  <c r="S421" i="30"/>
  <c r="V421" i="30" s="1"/>
  <c r="W421" i="30" s="1"/>
  <c r="Y421" i="30" s="1"/>
  <c r="AA419" i="30"/>
  <c r="AC419" i="30" s="1"/>
  <c r="AD419" i="30" s="1"/>
  <c r="S419" i="30"/>
  <c r="V419" i="30" s="1"/>
  <c r="W419" i="30" s="1"/>
  <c r="Y419" i="30" s="1"/>
  <c r="AA417" i="30"/>
  <c r="AC417" i="30" s="1"/>
  <c r="AD417" i="30" s="1"/>
  <c r="S417" i="30"/>
  <c r="V417" i="30" s="1"/>
  <c r="W417" i="30" s="1"/>
  <c r="Y417" i="30" s="1"/>
  <c r="AA415" i="30"/>
  <c r="AC415" i="30" s="1"/>
  <c r="AD415" i="30" s="1"/>
  <c r="S415" i="30"/>
  <c r="V415" i="30" s="1"/>
  <c r="W415" i="30" s="1"/>
  <c r="Y415" i="30" s="1"/>
  <c r="AA413" i="30"/>
  <c r="AC413" i="30" s="1"/>
  <c r="AD413" i="30" s="1"/>
  <c r="S413" i="30"/>
  <c r="V413" i="30" s="1"/>
  <c r="W413" i="30" s="1"/>
  <c r="Y413" i="30" s="1"/>
  <c r="AA411" i="30"/>
  <c r="AC411" i="30" s="1"/>
  <c r="AD411" i="30" s="1"/>
  <c r="S411" i="30"/>
  <c r="V411" i="30" s="1"/>
  <c r="W411" i="30" s="1"/>
  <c r="Y411" i="30" s="1"/>
  <c r="AA409" i="30"/>
  <c r="S409" i="30"/>
  <c r="V409" i="30" s="1"/>
  <c r="W409" i="30" s="1"/>
  <c r="Y409" i="30" s="1"/>
  <c r="AA407" i="30"/>
  <c r="AC407" i="30" s="1"/>
  <c r="AD407" i="30" s="1"/>
  <c r="S407" i="30"/>
  <c r="V407" i="30" s="1"/>
  <c r="W407" i="30" s="1"/>
  <c r="Y407" i="30" s="1"/>
  <c r="AA403" i="30"/>
  <c r="S403" i="30"/>
  <c r="V403" i="30" s="1"/>
  <c r="W403" i="30" s="1"/>
  <c r="Y403" i="30" s="1"/>
  <c r="S404" i="30"/>
  <c r="V404" i="30" s="1"/>
  <c r="W404" i="30" s="1"/>
  <c r="Y404" i="30" s="1"/>
  <c r="AA404" i="30"/>
  <c r="AC404" i="30" s="1"/>
  <c r="AD404" i="30" s="1"/>
  <c r="AA399" i="30"/>
  <c r="S399" i="30"/>
  <c r="V399" i="30" s="1"/>
  <c r="W399" i="30" s="1"/>
  <c r="Y399" i="30" s="1"/>
  <c r="AA397" i="30"/>
  <c r="AC397" i="30" s="1"/>
  <c r="AD397" i="30" s="1"/>
  <c r="S397" i="30"/>
  <c r="V397" i="30" s="1"/>
  <c r="W397" i="30" s="1"/>
  <c r="Y397" i="30" s="1"/>
  <c r="AA395" i="30"/>
  <c r="AC395" i="30" s="1"/>
  <c r="AD395" i="30" s="1"/>
  <c r="S395" i="30"/>
  <c r="V395" i="30" s="1"/>
  <c r="W395" i="30" s="1"/>
  <c r="Y395" i="30" s="1"/>
  <c r="AA393" i="30"/>
  <c r="AC393" i="30" s="1"/>
  <c r="AD393" i="30" s="1"/>
  <c r="S393" i="30"/>
  <c r="V393" i="30" s="1"/>
  <c r="W393" i="30" s="1"/>
  <c r="Y393" i="30" s="1"/>
  <c r="AA391" i="30"/>
  <c r="S391" i="30"/>
  <c r="V391" i="30" s="1"/>
  <c r="W391" i="30" s="1"/>
  <c r="Y391" i="30" s="1"/>
  <c r="AA389" i="30"/>
  <c r="AC389" i="30" s="1"/>
  <c r="AD389" i="30" s="1"/>
  <c r="S389" i="30"/>
  <c r="V389" i="30" s="1"/>
  <c r="W389" i="30" s="1"/>
  <c r="Y389" i="30" s="1"/>
  <c r="AA387" i="30"/>
  <c r="S387" i="30"/>
  <c r="V387" i="30" s="1"/>
  <c r="W387" i="30" s="1"/>
  <c r="Y387" i="30" s="1"/>
  <c r="AA385" i="30"/>
  <c r="AC385" i="30" s="1"/>
  <c r="AD385" i="30" s="1"/>
  <c r="S385" i="30"/>
  <c r="V385" i="30" s="1"/>
  <c r="W385" i="30" s="1"/>
  <c r="Y385" i="30" s="1"/>
  <c r="AA383" i="30"/>
  <c r="S383" i="30"/>
  <c r="V383" i="30" s="1"/>
  <c r="W383" i="30" s="1"/>
  <c r="Y383" i="30" s="1"/>
  <c r="AA381" i="30"/>
  <c r="AC381" i="30" s="1"/>
  <c r="AD381" i="30" s="1"/>
  <c r="S381" i="30"/>
  <c r="V381" i="30" s="1"/>
  <c r="W381" i="30" s="1"/>
  <c r="Y381" i="30" s="1"/>
  <c r="AA379" i="30"/>
  <c r="AC379" i="30" s="1"/>
  <c r="AD379" i="30" s="1"/>
  <c r="S379" i="30"/>
  <c r="V379" i="30" s="1"/>
  <c r="W379" i="30" s="1"/>
  <c r="Y379" i="30" s="1"/>
  <c r="AA377" i="30"/>
  <c r="AC377" i="30" s="1"/>
  <c r="AD377" i="30" s="1"/>
  <c r="S377" i="30"/>
  <c r="V377" i="30" s="1"/>
  <c r="W377" i="30" s="1"/>
  <c r="Y377" i="30" s="1"/>
  <c r="AA375" i="30"/>
  <c r="S375" i="30"/>
  <c r="V375" i="30" s="1"/>
  <c r="W375" i="30" s="1"/>
  <c r="Y375" i="30" s="1"/>
  <c r="AA373" i="30"/>
  <c r="AC373" i="30" s="1"/>
  <c r="AD373" i="30" s="1"/>
  <c r="S373" i="30"/>
  <c r="V373" i="30" s="1"/>
  <c r="W373" i="30" s="1"/>
  <c r="Y373" i="30" s="1"/>
  <c r="AA371" i="30"/>
  <c r="S371" i="30"/>
  <c r="V371" i="30" s="1"/>
  <c r="W371" i="30" s="1"/>
  <c r="Y371" i="30" s="1"/>
  <c r="AA369" i="30"/>
  <c r="AC369" i="30" s="1"/>
  <c r="AD369" i="30" s="1"/>
  <c r="S369" i="30"/>
  <c r="V369" i="30" s="1"/>
  <c r="W369" i="30" s="1"/>
  <c r="Y369" i="30" s="1"/>
  <c r="AA367" i="30"/>
  <c r="S367" i="30"/>
  <c r="V367" i="30" s="1"/>
  <c r="W367" i="30" s="1"/>
  <c r="Y367" i="30" s="1"/>
  <c r="AA365" i="30"/>
  <c r="AC365" i="30" s="1"/>
  <c r="AD365" i="30" s="1"/>
  <c r="S365" i="30"/>
  <c r="V365" i="30" s="1"/>
  <c r="W365" i="30" s="1"/>
  <c r="Y365" i="30" s="1"/>
  <c r="AA363" i="30"/>
  <c r="AC363" i="30" s="1"/>
  <c r="AD363" i="30" s="1"/>
  <c r="S363" i="30"/>
  <c r="V363" i="30" s="1"/>
  <c r="W363" i="30" s="1"/>
  <c r="Y363" i="30" s="1"/>
  <c r="AA361" i="30"/>
  <c r="AC361" i="30" s="1"/>
  <c r="AD361" i="30" s="1"/>
  <c r="S361" i="30"/>
  <c r="V361" i="30" s="1"/>
  <c r="W361" i="30" s="1"/>
  <c r="Y361" i="30" s="1"/>
  <c r="AA359" i="30"/>
  <c r="S359" i="30"/>
  <c r="V359" i="30" s="1"/>
  <c r="W359" i="30" s="1"/>
  <c r="Y359" i="30" s="1"/>
  <c r="AA357" i="30"/>
  <c r="AC357" i="30" s="1"/>
  <c r="AD357" i="30" s="1"/>
  <c r="S357" i="30"/>
  <c r="V357" i="30" s="1"/>
  <c r="W357" i="30" s="1"/>
  <c r="Y357" i="30" s="1"/>
  <c r="AA355" i="30"/>
  <c r="S355" i="30"/>
  <c r="V355" i="30" s="1"/>
  <c r="W355" i="30" s="1"/>
  <c r="Y355" i="30" s="1"/>
  <c r="AA353" i="30"/>
  <c r="AC353" i="30" s="1"/>
  <c r="AD353" i="30" s="1"/>
  <c r="S353" i="30"/>
  <c r="V353" i="30" s="1"/>
  <c r="W353" i="30" s="1"/>
  <c r="Y353" i="30" s="1"/>
  <c r="AA351" i="30"/>
  <c r="S351" i="30"/>
  <c r="V351" i="30" s="1"/>
  <c r="W351" i="30" s="1"/>
  <c r="Y351" i="30" s="1"/>
  <c r="AA349" i="30"/>
  <c r="AC349" i="30" s="1"/>
  <c r="AD349" i="30" s="1"/>
  <c r="S349" i="30"/>
  <c r="V349" i="30" s="1"/>
  <c r="W349" i="30" s="1"/>
  <c r="Y349" i="30" s="1"/>
  <c r="AA347" i="30"/>
  <c r="AC347" i="30" s="1"/>
  <c r="AD347" i="30" s="1"/>
  <c r="S347" i="30"/>
  <c r="V347" i="30" s="1"/>
  <c r="W347" i="30" s="1"/>
  <c r="Y347" i="30" s="1"/>
  <c r="AA345" i="30"/>
  <c r="AC345" i="30" s="1"/>
  <c r="AD345" i="30" s="1"/>
  <c r="S345" i="30"/>
  <c r="V345" i="30" s="1"/>
  <c r="W345" i="30" s="1"/>
  <c r="Y345" i="30" s="1"/>
  <c r="AA343" i="30"/>
  <c r="S343" i="30"/>
  <c r="V343" i="30" s="1"/>
  <c r="W343" i="30" s="1"/>
  <c r="Y343" i="30" s="1"/>
  <c r="AA341" i="30"/>
  <c r="AC341" i="30" s="1"/>
  <c r="AD341" i="30" s="1"/>
  <c r="S341" i="30"/>
  <c r="V341" i="30" s="1"/>
  <c r="W341" i="30" s="1"/>
  <c r="Y341" i="30" s="1"/>
  <c r="AA339" i="30"/>
  <c r="S339" i="30"/>
  <c r="V339" i="30" s="1"/>
  <c r="W339" i="30" s="1"/>
  <c r="Y339" i="30" s="1"/>
  <c r="AA337" i="30"/>
  <c r="AC337" i="30" s="1"/>
  <c r="AD337" i="30" s="1"/>
  <c r="S337" i="30"/>
  <c r="V337" i="30" s="1"/>
  <c r="W337" i="30" s="1"/>
  <c r="Y337" i="30" s="1"/>
  <c r="AA335" i="30"/>
  <c r="S335" i="30"/>
  <c r="V335" i="30" s="1"/>
  <c r="W335" i="30" s="1"/>
  <c r="Y335" i="30" s="1"/>
  <c r="AA333" i="30"/>
  <c r="AC333" i="30" s="1"/>
  <c r="AD333" i="30" s="1"/>
  <c r="S333" i="30"/>
  <c r="V333" i="30" s="1"/>
  <c r="W333" i="30" s="1"/>
  <c r="Y333" i="30" s="1"/>
  <c r="AA331" i="30"/>
  <c r="AC331" i="30" s="1"/>
  <c r="AD331" i="30" s="1"/>
  <c r="S331" i="30"/>
  <c r="V331" i="30" s="1"/>
  <c r="W331" i="30" s="1"/>
  <c r="Y331" i="30" s="1"/>
  <c r="AA329" i="30"/>
  <c r="AC329" i="30" s="1"/>
  <c r="AD329" i="30" s="1"/>
  <c r="S329" i="30"/>
  <c r="V329" i="30" s="1"/>
  <c r="W329" i="30" s="1"/>
  <c r="Y329" i="30" s="1"/>
  <c r="AA327" i="30"/>
  <c r="S327" i="30"/>
  <c r="V327" i="30" s="1"/>
  <c r="W327" i="30" s="1"/>
  <c r="Y327" i="30" s="1"/>
  <c r="AA325" i="30"/>
  <c r="AC325" i="30" s="1"/>
  <c r="AD325" i="30" s="1"/>
  <c r="S325" i="30"/>
  <c r="V325" i="30" s="1"/>
  <c r="W325" i="30" s="1"/>
  <c r="Y325" i="30" s="1"/>
  <c r="AA323" i="30"/>
  <c r="S323" i="30"/>
  <c r="V323" i="30" s="1"/>
  <c r="W323" i="30" s="1"/>
  <c r="Y323" i="30" s="1"/>
  <c r="AA321" i="30"/>
  <c r="AC321" i="30" s="1"/>
  <c r="AD321" i="30" s="1"/>
  <c r="S321" i="30"/>
  <c r="V321" i="30" s="1"/>
  <c r="W321" i="30" s="1"/>
  <c r="Y321" i="30" s="1"/>
  <c r="AA319" i="30"/>
  <c r="S319" i="30"/>
  <c r="V319" i="30" s="1"/>
  <c r="W319" i="30" s="1"/>
  <c r="Y319" i="30" s="1"/>
  <c r="AA317" i="30"/>
  <c r="AC317" i="30" s="1"/>
  <c r="AD317" i="30" s="1"/>
  <c r="S317" i="30"/>
  <c r="V317" i="30" s="1"/>
  <c r="W317" i="30" s="1"/>
  <c r="Y317" i="30" s="1"/>
  <c r="AA315" i="30"/>
  <c r="AC315" i="30" s="1"/>
  <c r="AD315" i="30" s="1"/>
  <c r="S315" i="30"/>
  <c r="V315" i="30" s="1"/>
  <c r="W315" i="30" s="1"/>
  <c r="Y315" i="30" s="1"/>
  <c r="AA313" i="30"/>
  <c r="AC313" i="30" s="1"/>
  <c r="AD313" i="30" s="1"/>
  <c r="S313" i="30"/>
  <c r="V313" i="30" s="1"/>
  <c r="W313" i="30" s="1"/>
  <c r="Y313" i="30" s="1"/>
  <c r="AA311" i="30"/>
  <c r="AC311" i="30" s="1"/>
  <c r="AD311" i="30" s="1"/>
  <c r="S311" i="30"/>
  <c r="V311" i="30" s="1"/>
  <c r="W311" i="30" s="1"/>
  <c r="Y311" i="30" s="1"/>
  <c r="AA309" i="30"/>
  <c r="AC309" i="30" s="1"/>
  <c r="AD309" i="30" s="1"/>
  <c r="S309" i="30"/>
  <c r="V309" i="30" s="1"/>
  <c r="W309" i="30" s="1"/>
  <c r="Y309" i="30" s="1"/>
  <c r="AA307" i="30"/>
  <c r="AC307" i="30" s="1"/>
  <c r="AD307" i="30" s="1"/>
  <c r="S307" i="30"/>
  <c r="V307" i="30" s="1"/>
  <c r="W307" i="30" s="1"/>
  <c r="Y307" i="30" s="1"/>
  <c r="AA305" i="30"/>
  <c r="AC305" i="30" s="1"/>
  <c r="AD305" i="30" s="1"/>
  <c r="S305" i="30"/>
  <c r="V305" i="30" s="1"/>
  <c r="W305" i="30" s="1"/>
  <c r="Y305" i="30" s="1"/>
  <c r="AA303" i="30"/>
  <c r="AC303" i="30" s="1"/>
  <c r="AD303" i="30" s="1"/>
  <c r="S303" i="30"/>
  <c r="V303" i="30" s="1"/>
  <c r="W303" i="30" s="1"/>
  <c r="Y303" i="30" s="1"/>
  <c r="AA301" i="30"/>
  <c r="AC301" i="30" s="1"/>
  <c r="AD301" i="30" s="1"/>
  <c r="S301" i="30"/>
  <c r="V301" i="30" s="1"/>
  <c r="W301" i="30" s="1"/>
  <c r="Y301" i="30" s="1"/>
  <c r="AA299" i="30"/>
  <c r="AC299" i="30" s="1"/>
  <c r="AD299" i="30" s="1"/>
  <c r="S299" i="30"/>
  <c r="V299" i="30" s="1"/>
  <c r="W299" i="30" s="1"/>
  <c r="Y299" i="30" s="1"/>
  <c r="AA297" i="30"/>
  <c r="AC297" i="30" s="1"/>
  <c r="AD297" i="30" s="1"/>
  <c r="S297" i="30"/>
  <c r="V297" i="30" s="1"/>
  <c r="W297" i="30" s="1"/>
  <c r="Y297" i="30" s="1"/>
  <c r="AA295" i="30"/>
  <c r="S295" i="30"/>
  <c r="V295" i="30" s="1"/>
  <c r="W295" i="30" s="1"/>
  <c r="Y295" i="30" s="1"/>
  <c r="AA293" i="30"/>
  <c r="AC293" i="30" s="1"/>
  <c r="AD293" i="30" s="1"/>
  <c r="S293" i="30"/>
  <c r="V293" i="30" s="1"/>
  <c r="W293" i="30" s="1"/>
  <c r="Y293" i="30" s="1"/>
  <c r="AA291" i="30"/>
  <c r="AC291" i="30" s="1"/>
  <c r="AD291" i="30" s="1"/>
  <c r="S291" i="30"/>
  <c r="V291" i="30" s="1"/>
  <c r="W291" i="30" s="1"/>
  <c r="Y291" i="30" s="1"/>
  <c r="S290" i="30"/>
  <c r="V290" i="30" s="1"/>
  <c r="W290" i="30" s="1"/>
  <c r="Y290" i="30" s="1"/>
  <c r="AA290" i="30"/>
  <c r="AC290" i="30" s="1"/>
  <c r="AD290" i="30" s="1"/>
  <c r="AA208" i="30"/>
  <c r="AC208" i="30" s="1"/>
  <c r="AD208" i="30" s="1"/>
  <c r="S208" i="30"/>
  <c r="T208" i="30"/>
  <c r="AA206" i="30"/>
  <c r="S206" i="30"/>
  <c r="T206" i="30"/>
  <c r="AA204" i="30"/>
  <c r="AC204" i="30" s="1"/>
  <c r="AD204" i="30" s="1"/>
  <c r="S204" i="30"/>
  <c r="T204" i="30"/>
  <c r="AA202" i="30"/>
  <c r="AC202" i="30" s="1"/>
  <c r="AD202" i="30" s="1"/>
  <c r="S202" i="30"/>
  <c r="T202" i="30"/>
  <c r="AA200" i="30"/>
  <c r="S200" i="30"/>
  <c r="T200" i="30"/>
  <c r="AA198" i="30"/>
  <c r="S198" i="30"/>
  <c r="T198" i="30"/>
  <c r="AA196" i="30"/>
  <c r="AC196" i="30" s="1"/>
  <c r="AD196" i="30" s="1"/>
  <c r="S196" i="30"/>
  <c r="T196" i="30"/>
  <c r="AA194" i="30"/>
  <c r="AC194" i="30" s="1"/>
  <c r="AD194" i="30" s="1"/>
  <c r="S194" i="30"/>
  <c r="T194" i="30"/>
  <c r="AA192" i="30"/>
  <c r="AC192" i="30" s="1"/>
  <c r="AD192" i="30" s="1"/>
  <c r="S192" i="30"/>
  <c r="T192" i="30"/>
  <c r="AA190" i="30"/>
  <c r="S190" i="30"/>
  <c r="T190" i="30"/>
  <c r="AA188" i="30"/>
  <c r="AC188" i="30" s="1"/>
  <c r="AD188" i="30" s="1"/>
  <c r="S188" i="30"/>
  <c r="T188" i="30"/>
  <c r="AA98" i="30"/>
  <c r="AC98" i="30" s="1"/>
  <c r="AD98" i="30" s="1"/>
  <c r="S98" i="30"/>
  <c r="V98" i="30" s="1"/>
  <c r="W98" i="30" s="1"/>
  <c r="Y98" i="30" s="1"/>
  <c r="T97" i="30"/>
  <c r="AA97" i="30"/>
  <c r="AC97" i="30" s="1"/>
  <c r="AD97" i="30" s="1"/>
  <c r="S97" i="30"/>
  <c r="T96" i="30"/>
  <c r="AA96" i="30"/>
  <c r="AC96" i="30" s="1"/>
  <c r="AD96" i="30" s="1"/>
  <c r="S96" i="30"/>
  <c r="T94" i="30"/>
  <c r="AA94" i="30"/>
  <c r="AC94" i="30" s="1"/>
  <c r="AD94" i="30" s="1"/>
  <c r="S94" i="30"/>
  <c r="T68" i="30"/>
  <c r="AA68" i="30"/>
  <c r="AC68" i="30" s="1"/>
  <c r="AD68" i="30" s="1"/>
  <c r="S68" i="30"/>
  <c r="T63" i="30"/>
  <c r="AA63" i="30"/>
  <c r="AC63" i="30" s="1"/>
  <c r="AD63" i="30" s="1"/>
  <c r="S63" i="30"/>
  <c r="T61" i="30"/>
  <c r="AA61" i="30"/>
  <c r="AC61" i="30" s="1"/>
  <c r="AD61" i="30" s="1"/>
  <c r="S61" i="30"/>
  <c r="T55" i="30"/>
  <c r="AA55" i="30"/>
  <c r="AC55" i="30" s="1"/>
  <c r="AD55" i="30" s="1"/>
  <c r="S55" i="30"/>
  <c r="T53" i="30"/>
  <c r="AA53" i="30"/>
  <c r="AC53" i="30" s="1"/>
  <c r="AD53" i="30" s="1"/>
  <c r="S53" i="30"/>
  <c r="T51" i="30"/>
  <c r="AA51" i="30"/>
  <c r="AC51" i="30" s="1"/>
  <c r="AD51" i="30" s="1"/>
  <c r="S51" i="30"/>
  <c r="T50" i="30"/>
  <c r="AA50" i="30"/>
  <c r="AC50" i="30" s="1"/>
  <c r="AD50" i="30" s="1"/>
  <c r="S50" i="30"/>
  <c r="T49" i="30"/>
  <c r="AA49" i="30"/>
  <c r="AC49" i="30" s="1"/>
  <c r="AD49" i="30" s="1"/>
  <c r="S49" i="30"/>
  <c r="T48" i="30"/>
  <c r="AA48" i="30"/>
  <c r="AC48" i="30" s="1"/>
  <c r="AD48" i="30" s="1"/>
  <c r="S48" i="30"/>
  <c r="T47" i="30"/>
  <c r="AA47" i="30"/>
  <c r="AC47" i="30" s="1"/>
  <c r="AD47" i="30" s="1"/>
  <c r="S47" i="30"/>
  <c r="T46" i="30"/>
  <c r="AA46" i="30"/>
  <c r="AC46" i="30" s="1"/>
  <c r="AD46" i="30" s="1"/>
  <c r="S46" i="30"/>
  <c r="T45" i="30"/>
  <c r="AA45" i="30"/>
  <c r="AC45" i="30" s="1"/>
  <c r="AD45" i="30" s="1"/>
  <c r="S45" i="30"/>
  <c r="T44" i="30"/>
  <c r="AA44" i="30"/>
  <c r="AC44" i="30" s="1"/>
  <c r="AD44" i="30" s="1"/>
  <c r="S44" i="30"/>
  <c r="T43" i="30"/>
  <c r="AA43" i="30"/>
  <c r="AC43" i="30" s="1"/>
  <c r="AD43" i="30" s="1"/>
  <c r="S43" i="30"/>
  <c r="T42" i="30"/>
  <c r="AA42" i="30"/>
  <c r="AC42" i="30" s="1"/>
  <c r="AD42" i="30" s="1"/>
  <c r="S42" i="30"/>
  <c r="T41" i="30"/>
  <c r="AA41" i="30"/>
  <c r="AC41" i="30" s="1"/>
  <c r="AD41" i="30" s="1"/>
  <c r="S41" i="30"/>
  <c r="T23" i="30"/>
  <c r="AA23" i="30"/>
  <c r="AC23" i="30" s="1"/>
  <c r="AD23" i="30" s="1"/>
  <c r="S23" i="30"/>
  <c r="T22" i="30"/>
  <c r="AA22" i="30"/>
  <c r="AC22" i="30" s="1"/>
  <c r="AD22" i="30" s="1"/>
  <c r="S22" i="30"/>
  <c r="T21" i="30"/>
  <c r="AA21" i="30"/>
  <c r="AC21" i="30" s="1"/>
  <c r="AD21" i="30" s="1"/>
  <c r="S21" i="30"/>
  <c r="AA186" i="30"/>
  <c r="AC186" i="30" s="1"/>
  <c r="AD186" i="30" s="1"/>
  <c r="S186" i="30"/>
  <c r="T186" i="30"/>
  <c r="AA185" i="30"/>
  <c r="AC185" i="30" s="1"/>
  <c r="AD185" i="30" s="1"/>
  <c r="S185" i="30"/>
  <c r="T185" i="30"/>
  <c r="AA184" i="30"/>
  <c r="AC184" i="30" s="1"/>
  <c r="AD184" i="30" s="1"/>
  <c r="S184" i="30"/>
  <c r="T184" i="30"/>
  <c r="AA183" i="30"/>
  <c r="AC183" i="30" s="1"/>
  <c r="AD183" i="30" s="1"/>
  <c r="S183" i="30"/>
  <c r="T183" i="30"/>
  <c r="AA182" i="30"/>
  <c r="AC182" i="30" s="1"/>
  <c r="AD182" i="30" s="1"/>
  <c r="S182" i="30"/>
  <c r="T182" i="30"/>
  <c r="AA181" i="30"/>
  <c r="AC181" i="30" s="1"/>
  <c r="AD181" i="30" s="1"/>
  <c r="S181" i="30"/>
  <c r="T181" i="30"/>
  <c r="AA169" i="30"/>
  <c r="AC169" i="30" s="1"/>
  <c r="AD169" i="30" s="1"/>
  <c r="S169" i="30"/>
  <c r="T169" i="30"/>
  <c r="AA167" i="30"/>
  <c r="AC167" i="30" s="1"/>
  <c r="AD167" i="30" s="1"/>
  <c r="S167" i="30"/>
  <c r="T167" i="30"/>
  <c r="AA165" i="30"/>
  <c r="AC165" i="30" s="1"/>
  <c r="AD165" i="30" s="1"/>
  <c r="S165" i="30"/>
  <c r="T165" i="30"/>
  <c r="AA163" i="30"/>
  <c r="AC163" i="30" s="1"/>
  <c r="AD163" i="30" s="1"/>
  <c r="S163" i="30"/>
  <c r="T163" i="30"/>
  <c r="AA161" i="30"/>
  <c r="S161" i="30"/>
  <c r="T161" i="30"/>
  <c r="AA159" i="30"/>
  <c r="AC159" i="30" s="1"/>
  <c r="AD159" i="30" s="1"/>
  <c r="S159" i="30"/>
  <c r="T159" i="30"/>
  <c r="AA157" i="30"/>
  <c r="AC157" i="30" s="1"/>
  <c r="AD157" i="30" s="1"/>
  <c r="S157" i="30"/>
  <c r="T157" i="30"/>
  <c r="AA155" i="30"/>
  <c r="AC155" i="30" s="1"/>
  <c r="AD155" i="30" s="1"/>
  <c r="S155" i="30"/>
  <c r="T155" i="30"/>
  <c r="AA153" i="30"/>
  <c r="AC153" i="30" s="1"/>
  <c r="AD153" i="30" s="1"/>
  <c r="S153" i="30"/>
  <c r="T153" i="30"/>
  <c r="AA151" i="30"/>
  <c r="AC151" i="30" s="1"/>
  <c r="AD151" i="30" s="1"/>
  <c r="S151" i="30"/>
  <c r="T151" i="30"/>
  <c r="AA149" i="30"/>
  <c r="S149" i="30"/>
  <c r="T149" i="30"/>
  <c r="AA147" i="30"/>
  <c r="AC147" i="30" s="1"/>
  <c r="AD147" i="30" s="1"/>
  <c r="S147" i="30"/>
  <c r="T147" i="30"/>
  <c r="AA145" i="30"/>
  <c r="AC145" i="30" s="1"/>
  <c r="AD145" i="30" s="1"/>
  <c r="S145" i="30"/>
  <c r="T145" i="30"/>
  <c r="AA143" i="30"/>
  <c r="AC143" i="30" s="1"/>
  <c r="AD143" i="30" s="1"/>
  <c r="S143" i="30"/>
  <c r="T143" i="30"/>
  <c r="AA141" i="30"/>
  <c r="AC141" i="30" s="1"/>
  <c r="AD141" i="30" s="1"/>
  <c r="S141" i="30"/>
  <c r="T141" i="30"/>
  <c r="AA139" i="30"/>
  <c r="AC139" i="30" s="1"/>
  <c r="AD139" i="30" s="1"/>
  <c r="S139" i="30"/>
  <c r="T139" i="30"/>
  <c r="AA137" i="30"/>
  <c r="AC137" i="30" s="1"/>
  <c r="AD137" i="30" s="1"/>
  <c r="S137" i="30"/>
  <c r="T137" i="30"/>
  <c r="AA135" i="30"/>
  <c r="AC135" i="30" s="1"/>
  <c r="AD135" i="30" s="1"/>
  <c r="S135" i="30"/>
  <c r="T135" i="30"/>
  <c r="AA133" i="30"/>
  <c r="AC133" i="30" s="1"/>
  <c r="AD133" i="30" s="1"/>
  <c r="S133" i="30"/>
  <c r="T133" i="30"/>
  <c r="AA131" i="30"/>
  <c r="AC131" i="30" s="1"/>
  <c r="AD131" i="30" s="1"/>
  <c r="S131" i="30"/>
  <c r="T131" i="30"/>
  <c r="AA129" i="30"/>
  <c r="AC129" i="30" s="1"/>
  <c r="AD129" i="30" s="1"/>
  <c r="S129" i="30"/>
  <c r="T129" i="30"/>
  <c r="AA127" i="30"/>
  <c r="AC127" i="30" s="1"/>
  <c r="AD127" i="30" s="1"/>
  <c r="S127" i="30"/>
  <c r="T127" i="30"/>
  <c r="AA125" i="30"/>
  <c r="AC125" i="30" s="1"/>
  <c r="AD125" i="30" s="1"/>
  <c r="S125" i="30"/>
  <c r="T125" i="30"/>
  <c r="AA105" i="30"/>
  <c r="AC105" i="30" s="1"/>
  <c r="AD105" i="30" s="1"/>
  <c r="S105" i="30"/>
  <c r="T105" i="30"/>
  <c r="AA102" i="30"/>
  <c r="AC102" i="30" s="1"/>
  <c r="AD102" i="30" s="1"/>
  <c r="S102" i="30"/>
  <c r="T102" i="30"/>
  <c r="AA93" i="30"/>
  <c r="AC93" i="30" s="1"/>
  <c r="AD93" i="30" s="1"/>
  <c r="S93" i="30"/>
  <c r="T93" i="30"/>
  <c r="AA91" i="30"/>
  <c r="AC91" i="30" s="1"/>
  <c r="AD91" i="30" s="1"/>
  <c r="S91" i="30"/>
  <c r="T91" i="30"/>
  <c r="AA89" i="30"/>
  <c r="AC89" i="30" s="1"/>
  <c r="AD89" i="30" s="1"/>
  <c r="S89" i="30"/>
  <c r="T89" i="30"/>
  <c r="AA87" i="30"/>
  <c r="AC87" i="30" s="1"/>
  <c r="AD87" i="30" s="1"/>
  <c r="S87" i="30"/>
  <c r="T87" i="30"/>
  <c r="AA85" i="30"/>
  <c r="AC85" i="30" s="1"/>
  <c r="AD85" i="30" s="1"/>
  <c r="S85" i="30"/>
  <c r="T85" i="30"/>
  <c r="AA83" i="30"/>
  <c r="AC83" i="30" s="1"/>
  <c r="AD83" i="30" s="1"/>
  <c r="S83" i="30"/>
  <c r="T83" i="30"/>
  <c r="AA81" i="30"/>
  <c r="AC81" i="30" s="1"/>
  <c r="AD81" i="30" s="1"/>
  <c r="S81" i="30"/>
  <c r="T81" i="30"/>
  <c r="AA79" i="30"/>
  <c r="AC79" i="30" s="1"/>
  <c r="AD79" i="30" s="1"/>
  <c r="S79" i="30"/>
  <c r="T79" i="30"/>
  <c r="AA77" i="30"/>
  <c r="AC77" i="30" s="1"/>
  <c r="AD77" i="30" s="1"/>
  <c r="S77" i="30"/>
  <c r="T77" i="30"/>
  <c r="AA75" i="30"/>
  <c r="AC75" i="30" s="1"/>
  <c r="AD75" i="30" s="1"/>
  <c r="S75" i="30"/>
  <c r="T75" i="30"/>
  <c r="AA73" i="30"/>
  <c r="AC73" i="30" s="1"/>
  <c r="AD73" i="30" s="1"/>
  <c r="S73" i="30"/>
  <c r="T73" i="30"/>
  <c r="AA71" i="30"/>
  <c r="AC71" i="30" s="1"/>
  <c r="AD71" i="30" s="1"/>
  <c r="S71" i="30"/>
  <c r="T71" i="30"/>
  <c r="AA69" i="30"/>
  <c r="AC69" i="30" s="1"/>
  <c r="AD69" i="30" s="1"/>
  <c r="S69" i="30"/>
  <c r="T69" i="30"/>
  <c r="AA66" i="30"/>
  <c r="AC66" i="30" s="1"/>
  <c r="AD66" i="30" s="1"/>
  <c r="S66" i="30"/>
  <c r="T66" i="30"/>
  <c r="AA64" i="30"/>
  <c r="AC64" i="30" s="1"/>
  <c r="AD64" i="30" s="1"/>
  <c r="S64" i="30"/>
  <c r="T64" i="30"/>
  <c r="AA60" i="30"/>
  <c r="AC60" i="30" s="1"/>
  <c r="AD60" i="30" s="1"/>
  <c r="S60" i="30"/>
  <c r="T60" i="30"/>
  <c r="AA58" i="30"/>
  <c r="AC58" i="30" s="1"/>
  <c r="AD58" i="30" s="1"/>
  <c r="S58" i="30"/>
  <c r="T58" i="30"/>
  <c r="AA56" i="30"/>
  <c r="AC56" i="30" s="1"/>
  <c r="AD56" i="30" s="1"/>
  <c r="S56" i="30"/>
  <c r="T56" i="30"/>
  <c r="AA52" i="30"/>
  <c r="AC52" i="30" s="1"/>
  <c r="AD52" i="30" s="1"/>
  <c r="S52" i="30"/>
  <c r="T52" i="30"/>
  <c r="AA40" i="30"/>
  <c r="AC40" i="30" s="1"/>
  <c r="AD40" i="30" s="1"/>
  <c r="S40" i="30"/>
  <c r="T40" i="30"/>
  <c r="AA39" i="30"/>
  <c r="AC39" i="30" s="1"/>
  <c r="AD39" i="30" s="1"/>
  <c r="S39" i="30"/>
  <c r="T39" i="30"/>
  <c r="AA38" i="30"/>
  <c r="AC38" i="30" s="1"/>
  <c r="AD38" i="30" s="1"/>
  <c r="S38" i="30"/>
  <c r="T38" i="30"/>
  <c r="AA36" i="30"/>
  <c r="AC36" i="30" s="1"/>
  <c r="AD36" i="30" s="1"/>
  <c r="S36" i="30"/>
  <c r="T36" i="30"/>
  <c r="AA34" i="30"/>
  <c r="AC34" i="30" s="1"/>
  <c r="AD34" i="30" s="1"/>
  <c r="S34" i="30"/>
  <c r="T34" i="30"/>
  <c r="AA32" i="30"/>
  <c r="AC32" i="30" s="1"/>
  <c r="AD32" i="30" s="1"/>
  <c r="S32" i="30"/>
  <c r="T32" i="30"/>
  <c r="AA30" i="30"/>
  <c r="AC30" i="30" s="1"/>
  <c r="AD30" i="30" s="1"/>
  <c r="S30" i="30"/>
  <c r="T30" i="30"/>
  <c r="AA28" i="30"/>
  <c r="AC28" i="30" s="1"/>
  <c r="AD28" i="30" s="1"/>
  <c r="S28" i="30"/>
  <c r="T28" i="30"/>
  <c r="AA26" i="30"/>
  <c r="AC26" i="30" s="1"/>
  <c r="AD26" i="30" s="1"/>
  <c r="S26" i="30"/>
  <c r="T26" i="30"/>
  <c r="AA24" i="30"/>
  <c r="AC24" i="30" s="1"/>
  <c r="AD24" i="30" s="1"/>
  <c r="S24" i="30"/>
  <c r="T24" i="30"/>
  <c r="AA19" i="30"/>
  <c r="AC19" i="30" s="1"/>
  <c r="AD19" i="30" s="1"/>
  <c r="T19" i="30"/>
  <c r="S19" i="30"/>
  <c r="AA16" i="30"/>
  <c r="AC16" i="30" s="1"/>
  <c r="AD16" i="30" s="1"/>
  <c r="S16" i="30"/>
  <c r="T16" i="30"/>
  <c r="AA9" i="30"/>
  <c r="AC9" i="30" s="1"/>
  <c r="AD9" i="30" s="1"/>
  <c r="T9" i="30"/>
  <c r="S9" i="30"/>
  <c r="AA7" i="30"/>
  <c r="AC7" i="30" s="1"/>
  <c r="AD7" i="30" s="1"/>
  <c r="T7" i="30"/>
  <c r="S7" i="30"/>
  <c r="S556" i="30"/>
  <c r="V556" i="30" s="1"/>
  <c r="W556" i="30" s="1"/>
  <c r="Y556" i="30" s="1"/>
  <c r="AA556" i="30"/>
  <c r="AC556" i="30" s="1"/>
  <c r="AD556" i="30" s="1"/>
  <c r="AA553" i="30"/>
  <c r="AC553" i="30" s="1"/>
  <c r="AD553" i="30" s="1"/>
  <c r="S553" i="30"/>
  <c r="V553" i="30" s="1"/>
  <c r="W553" i="30" s="1"/>
  <c r="Y553" i="30" s="1"/>
  <c r="AA541" i="30"/>
  <c r="AC541" i="30" s="1"/>
  <c r="AD541" i="30" s="1"/>
  <c r="S541" i="30"/>
  <c r="V541" i="30" s="1"/>
  <c r="W541" i="30" s="1"/>
  <c r="Y541" i="30" s="1"/>
  <c r="S550" i="30"/>
  <c r="V550" i="30" s="1"/>
  <c r="W550" i="30" s="1"/>
  <c r="Y550" i="30" s="1"/>
  <c r="AA550" i="30"/>
  <c r="AC550" i="30" s="1"/>
  <c r="AD550" i="30" s="1"/>
  <c r="S546" i="30"/>
  <c r="V546" i="30" s="1"/>
  <c r="W546" i="30" s="1"/>
  <c r="Y546" i="30" s="1"/>
  <c r="AA546" i="30"/>
  <c r="AC546" i="30" s="1"/>
  <c r="AD546" i="30" s="1"/>
  <c r="AA539" i="30"/>
  <c r="S539" i="30"/>
  <c r="T539" i="30"/>
  <c r="AA525" i="30"/>
  <c r="AC525" i="30" s="1"/>
  <c r="AD525" i="30" s="1"/>
  <c r="S525" i="30"/>
  <c r="V525" i="30" s="1"/>
  <c r="W525" i="30" s="1"/>
  <c r="Y525" i="30" s="1"/>
  <c r="AA521" i="30"/>
  <c r="AC521" i="30" s="1"/>
  <c r="AD521" i="30" s="1"/>
  <c r="S521" i="30"/>
  <c r="V521" i="30" s="1"/>
  <c r="W521" i="30" s="1"/>
  <c r="Y521" i="30" s="1"/>
  <c r="AA517" i="30"/>
  <c r="AC517" i="30" s="1"/>
  <c r="AD517" i="30" s="1"/>
  <c r="S517" i="30"/>
  <c r="V517" i="30" s="1"/>
  <c r="W517" i="30" s="1"/>
  <c r="Y517" i="30" s="1"/>
  <c r="T513" i="30"/>
  <c r="AA513" i="30"/>
  <c r="AC513" i="30" s="1"/>
  <c r="AD513" i="30" s="1"/>
  <c r="S513" i="30"/>
  <c r="AA559" i="30"/>
  <c r="S559" i="30"/>
  <c r="V559" i="30" s="1"/>
  <c r="W559" i="30" s="1"/>
  <c r="Y559" i="30" s="1"/>
  <c r="AA562" i="30"/>
  <c r="AC562" i="30" s="1"/>
  <c r="AD562" i="30" s="1"/>
  <c r="S562" i="30"/>
  <c r="AA549" i="30"/>
  <c r="AC549" i="30" s="1"/>
  <c r="AD549" i="30" s="1"/>
  <c r="S549" i="30"/>
  <c r="V549" i="30" s="1"/>
  <c r="W549" i="30" s="1"/>
  <c r="Y549" i="30" s="1"/>
  <c r="AA547" i="30"/>
  <c r="AC547" i="30" s="1"/>
  <c r="AD547" i="30" s="1"/>
  <c r="S547" i="30"/>
  <c r="V547" i="30" s="1"/>
  <c r="W547" i="30" s="1"/>
  <c r="Y547" i="30" s="1"/>
  <c r="AA543" i="30"/>
  <c r="AC543" i="30" s="1"/>
  <c r="AD543" i="30" s="1"/>
  <c r="S543" i="30"/>
  <c r="V543" i="30" s="1"/>
  <c r="W543" i="30" s="1"/>
  <c r="Y543" i="30" s="1"/>
  <c r="AA538" i="30"/>
  <c r="AC538" i="30" s="1"/>
  <c r="AD538" i="30" s="1"/>
  <c r="S538" i="30"/>
  <c r="V538" i="30" s="1"/>
  <c r="W538" i="30" s="1"/>
  <c r="Y538" i="30" s="1"/>
  <c r="AA536" i="30"/>
  <c r="AC536" i="30" s="1"/>
  <c r="AD536" i="30" s="1"/>
  <c r="S536" i="30"/>
  <c r="V536" i="30" s="1"/>
  <c r="W536" i="30" s="1"/>
  <c r="Y536" i="30" s="1"/>
  <c r="AA534" i="30"/>
  <c r="AC534" i="30" s="1"/>
  <c r="AD534" i="30" s="1"/>
  <c r="S534" i="30"/>
  <c r="V534" i="30" s="1"/>
  <c r="W534" i="30" s="1"/>
  <c r="Y534" i="30" s="1"/>
  <c r="AA532" i="30"/>
  <c r="AC532" i="30" s="1"/>
  <c r="AD532" i="30" s="1"/>
  <c r="S532" i="30"/>
  <c r="V532" i="30" s="1"/>
  <c r="W532" i="30" s="1"/>
  <c r="Y532" i="30" s="1"/>
  <c r="AA530" i="30"/>
  <c r="AC530" i="30" s="1"/>
  <c r="AD530" i="30" s="1"/>
  <c r="S530" i="30"/>
  <c r="V530" i="30" s="1"/>
  <c r="W530" i="30" s="1"/>
  <c r="Y530" i="30" s="1"/>
  <c r="S544" i="30"/>
  <c r="V544" i="30" s="1"/>
  <c r="W544" i="30" s="1"/>
  <c r="Y544" i="30" s="1"/>
  <c r="AA544" i="30"/>
  <c r="AC544" i="30" s="1"/>
  <c r="AD544" i="30" s="1"/>
  <c r="S540" i="30"/>
  <c r="V540" i="30" s="1"/>
  <c r="W540" i="30" s="1"/>
  <c r="Y540" i="30" s="1"/>
  <c r="AA540" i="30"/>
  <c r="AC540" i="30" s="1"/>
  <c r="AD540" i="30" s="1"/>
  <c r="AA529" i="30"/>
  <c r="AC529" i="30" s="1"/>
  <c r="AD529" i="30" s="1"/>
  <c r="S529" i="30"/>
  <c r="V529" i="30" s="1"/>
  <c r="W529" i="30" s="1"/>
  <c r="Y529" i="30" s="1"/>
  <c r="AA489" i="30"/>
  <c r="AC489" i="30" s="1"/>
  <c r="AD489" i="30" s="1"/>
  <c r="S489" i="30"/>
  <c r="V489" i="30" s="1"/>
  <c r="W489" i="30" s="1"/>
  <c r="Y489" i="30" s="1"/>
  <c r="AA487" i="30"/>
  <c r="AC487" i="30" s="1"/>
  <c r="AD487" i="30" s="1"/>
  <c r="S487" i="30"/>
  <c r="V487" i="30" s="1"/>
  <c r="W487" i="30" s="1"/>
  <c r="Y487" i="30" s="1"/>
  <c r="AA485" i="30"/>
  <c r="AC485" i="30" s="1"/>
  <c r="AD485" i="30" s="1"/>
  <c r="S485" i="30"/>
  <c r="V485" i="30" s="1"/>
  <c r="W485" i="30" s="1"/>
  <c r="Y485" i="30" s="1"/>
  <c r="AA483" i="30"/>
  <c r="AC483" i="30" s="1"/>
  <c r="AD483" i="30" s="1"/>
  <c r="S483" i="30"/>
  <c r="V483" i="30" s="1"/>
  <c r="W483" i="30" s="1"/>
  <c r="Y483" i="30" s="1"/>
  <c r="AA481" i="30"/>
  <c r="AC481" i="30" s="1"/>
  <c r="AD481" i="30" s="1"/>
  <c r="S481" i="30"/>
  <c r="V481" i="30" s="1"/>
  <c r="W481" i="30" s="1"/>
  <c r="Y481" i="30" s="1"/>
  <c r="AA479" i="30"/>
  <c r="AC479" i="30" s="1"/>
  <c r="AD479" i="30" s="1"/>
  <c r="S479" i="30"/>
  <c r="V479" i="30" s="1"/>
  <c r="W479" i="30" s="1"/>
  <c r="Y479" i="30" s="1"/>
  <c r="AA477" i="30"/>
  <c r="AC477" i="30" s="1"/>
  <c r="AD477" i="30" s="1"/>
  <c r="S477" i="30"/>
  <c r="V477" i="30" s="1"/>
  <c r="W477" i="30" s="1"/>
  <c r="Y477" i="30" s="1"/>
  <c r="AA475" i="30"/>
  <c r="AC475" i="30" s="1"/>
  <c r="AD475" i="30" s="1"/>
  <c r="S475" i="30"/>
  <c r="V475" i="30" s="1"/>
  <c r="W475" i="30" s="1"/>
  <c r="Y475" i="30" s="1"/>
  <c r="AA473" i="30"/>
  <c r="AC473" i="30" s="1"/>
  <c r="AD473" i="30" s="1"/>
  <c r="S473" i="30"/>
  <c r="V473" i="30" s="1"/>
  <c r="W473" i="30" s="1"/>
  <c r="Y473" i="30" s="1"/>
  <c r="AA471" i="30"/>
  <c r="AC471" i="30" s="1"/>
  <c r="AD471" i="30" s="1"/>
  <c r="S471" i="30"/>
  <c r="V471" i="30" s="1"/>
  <c r="W471" i="30" s="1"/>
  <c r="Y471" i="30" s="1"/>
  <c r="AA469" i="30"/>
  <c r="AC469" i="30" s="1"/>
  <c r="AD469" i="30" s="1"/>
  <c r="S469" i="30"/>
  <c r="V469" i="30" s="1"/>
  <c r="W469" i="30" s="1"/>
  <c r="Y469" i="30" s="1"/>
  <c r="AA467" i="30"/>
  <c r="AC467" i="30" s="1"/>
  <c r="AD467" i="30" s="1"/>
  <c r="S467" i="30"/>
  <c r="V467" i="30" s="1"/>
  <c r="W467" i="30" s="1"/>
  <c r="Y467" i="30" s="1"/>
  <c r="AA465" i="30"/>
  <c r="AC465" i="30" s="1"/>
  <c r="AD465" i="30" s="1"/>
  <c r="S465" i="30"/>
  <c r="V465" i="30" s="1"/>
  <c r="W465" i="30" s="1"/>
  <c r="Y465" i="30" s="1"/>
  <c r="AA463" i="30"/>
  <c r="S463" i="30"/>
  <c r="V463" i="30" s="1"/>
  <c r="W463" i="30" s="1"/>
  <c r="Y463" i="30" s="1"/>
  <c r="AA461" i="30"/>
  <c r="AC461" i="30" s="1"/>
  <c r="AD461" i="30" s="1"/>
  <c r="S461" i="30"/>
  <c r="V461" i="30" s="1"/>
  <c r="W461" i="30" s="1"/>
  <c r="Y461" i="30" s="1"/>
  <c r="AA459" i="30"/>
  <c r="AC459" i="30" s="1"/>
  <c r="AD459" i="30" s="1"/>
  <c r="S459" i="30"/>
  <c r="V459" i="30" s="1"/>
  <c r="W459" i="30" s="1"/>
  <c r="Y459" i="30" s="1"/>
  <c r="AA455" i="30"/>
  <c r="AC455" i="30" s="1"/>
  <c r="AD455" i="30" s="1"/>
  <c r="S455" i="30"/>
  <c r="V455" i="30" s="1"/>
  <c r="W455" i="30" s="1"/>
  <c r="Y455" i="30" s="1"/>
  <c r="AA505" i="30"/>
  <c r="AC505" i="30" s="1"/>
  <c r="AD505" i="30" s="1"/>
  <c r="S505" i="30"/>
  <c r="T505" i="30"/>
  <c r="AA503" i="30"/>
  <c r="AC503" i="30" s="1"/>
  <c r="AD503" i="30" s="1"/>
  <c r="S503" i="30"/>
  <c r="T503" i="30"/>
  <c r="AA501" i="30"/>
  <c r="AC501" i="30" s="1"/>
  <c r="AD501" i="30" s="1"/>
  <c r="S501" i="30"/>
  <c r="T501" i="30"/>
  <c r="AA499" i="30"/>
  <c r="AC499" i="30" s="1"/>
  <c r="AD499" i="30" s="1"/>
  <c r="S499" i="30"/>
  <c r="T499" i="30"/>
  <c r="AA497" i="30"/>
  <c r="AC497" i="30" s="1"/>
  <c r="AD497" i="30" s="1"/>
  <c r="S497" i="30"/>
  <c r="T497" i="30"/>
  <c r="AA495" i="30"/>
  <c r="AC495" i="30" s="1"/>
  <c r="AD495" i="30" s="1"/>
  <c r="S495" i="30"/>
  <c r="T495" i="30"/>
  <c r="AA493" i="30"/>
  <c r="AC493" i="30" s="1"/>
  <c r="AD493" i="30" s="1"/>
  <c r="S493" i="30"/>
  <c r="T493" i="30"/>
  <c r="AA491" i="30"/>
  <c r="AC491" i="30" s="1"/>
  <c r="AD491" i="30" s="1"/>
  <c r="S491" i="30"/>
  <c r="T491" i="30"/>
  <c r="S458" i="30"/>
  <c r="V458" i="30" s="1"/>
  <c r="W458" i="30" s="1"/>
  <c r="Y458" i="30" s="1"/>
  <c r="AA458" i="30"/>
  <c r="AC458" i="30" s="1"/>
  <c r="AD458" i="30" s="1"/>
  <c r="S454" i="30"/>
  <c r="V454" i="30" s="1"/>
  <c r="W454" i="30" s="1"/>
  <c r="Y454" i="30" s="1"/>
  <c r="AA454" i="30"/>
  <c r="AC454" i="30" s="1"/>
  <c r="AD454" i="30" s="1"/>
  <c r="W405" i="30"/>
  <c r="Y405" i="30" s="1"/>
  <c r="AD405" i="30"/>
  <c r="AA401" i="30"/>
  <c r="AC401" i="30" s="1"/>
  <c r="AD401" i="30" s="1"/>
  <c r="S401" i="30"/>
  <c r="V401" i="30" s="1"/>
  <c r="W401" i="30" s="1"/>
  <c r="Y401" i="30" s="1"/>
  <c r="S402" i="30"/>
  <c r="V402" i="30" s="1"/>
  <c r="W402" i="30" s="1"/>
  <c r="Y402" i="30" s="1"/>
  <c r="AA402" i="30"/>
  <c r="AC402" i="30" s="1"/>
  <c r="AD402" i="30" s="1"/>
  <c r="AA289" i="30"/>
  <c r="AC289" i="30" s="1"/>
  <c r="AD289" i="30" s="1"/>
  <c r="S289" i="30"/>
  <c r="V289" i="30" s="1"/>
  <c r="W289" i="30" s="1"/>
  <c r="Y289" i="30" s="1"/>
  <c r="AA287" i="30"/>
  <c r="AC287" i="30" s="1"/>
  <c r="AD287" i="30" s="1"/>
  <c r="S287" i="30"/>
  <c r="V287" i="30" s="1"/>
  <c r="W287" i="30" s="1"/>
  <c r="Y287" i="30" s="1"/>
  <c r="AA285" i="30"/>
  <c r="AC285" i="30" s="1"/>
  <c r="AD285" i="30" s="1"/>
  <c r="S285" i="30"/>
  <c r="V285" i="30" s="1"/>
  <c r="W285" i="30" s="1"/>
  <c r="Y285" i="30" s="1"/>
  <c r="AA283" i="30"/>
  <c r="AC283" i="30" s="1"/>
  <c r="AD283" i="30" s="1"/>
  <c r="S283" i="30"/>
  <c r="V283" i="30" s="1"/>
  <c r="W283" i="30" s="1"/>
  <c r="Y283" i="30" s="1"/>
  <c r="AA281" i="30"/>
  <c r="AC281" i="30" s="1"/>
  <c r="AD281" i="30" s="1"/>
  <c r="S281" i="30"/>
  <c r="V281" i="30" s="1"/>
  <c r="W281" i="30" s="1"/>
  <c r="Y281" i="30" s="1"/>
  <c r="AA279" i="30"/>
  <c r="AC279" i="30" s="1"/>
  <c r="AD279" i="30" s="1"/>
  <c r="S279" i="30"/>
  <c r="V279" i="30" s="1"/>
  <c r="W279" i="30" s="1"/>
  <c r="Y279" i="30" s="1"/>
  <c r="AA277" i="30"/>
  <c r="AC277" i="30" s="1"/>
  <c r="AD277" i="30" s="1"/>
  <c r="S277" i="30"/>
  <c r="V277" i="30" s="1"/>
  <c r="W277" i="30" s="1"/>
  <c r="Y277" i="30" s="1"/>
  <c r="AA275" i="30"/>
  <c r="AC275" i="30" s="1"/>
  <c r="AD275" i="30" s="1"/>
  <c r="S275" i="30"/>
  <c r="V275" i="30" s="1"/>
  <c r="W275" i="30" s="1"/>
  <c r="Y275" i="30" s="1"/>
  <c r="AA273" i="30"/>
  <c r="AC273" i="30" s="1"/>
  <c r="AD273" i="30" s="1"/>
  <c r="S273" i="30"/>
  <c r="V273" i="30" s="1"/>
  <c r="W273" i="30" s="1"/>
  <c r="Y273" i="30" s="1"/>
  <c r="AA271" i="30"/>
  <c r="AC271" i="30" s="1"/>
  <c r="AD271" i="30" s="1"/>
  <c r="S271" i="30"/>
  <c r="V271" i="30" s="1"/>
  <c r="W271" i="30" s="1"/>
  <c r="Y271" i="30" s="1"/>
  <c r="AA269" i="30"/>
  <c r="AC269" i="30" s="1"/>
  <c r="AD269" i="30" s="1"/>
  <c r="S269" i="30"/>
  <c r="V269" i="30" s="1"/>
  <c r="W269" i="30" s="1"/>
  <c r="Y269" i="30" s="1"/>
  <c r="AA267" i="30"/>
  <c r="AC267" i="30" s="1"/>
  <c r="AD267" i="30" s="1"/>
  <c r="S267" i="30"/>
  <c r="V267" i="30" s="1"/>
  <c r="W267" i="30" s="1"/>
  <c r="Y267" i="30" s="1"/>
  <c r="AA265" i="30"/>
  <c r="AC265" i="30" s="1"/>
  <c r="AD265" i="30" s="1"/>
  <c r="S265" i="30"/>
  <c r="V265" i="30" s="1"/>
  <c r="W265" i="30" s="1"/>
  <c r="Y265" i="30" s="1"/>
  <c r="AA263" i="30"/>
  <c r="AC263" i="30" s="1"/>
  <c r="AD263" i="30" s="1"/>
  <c r="S263" i="30"/>
  <c r="V263" i="30" s="1"/>
  <c r="W263" i="30" s="1"/>
  <c r="Y263" i="30" s="1"/>
  <c r="AA261" i="30"/>
  <c r="AC261" i="30" s="1"/>
  <c r="AD261" i="30" s="1"/>
  <c r="S261" i="30"/>
  <c r="V261" i="30" s="1"/>
  <c r="W261" i="30" s="1"/>
  <c r="Y261" i="30" s="1"/>
  <c r="AA259" i="30"/>
  <c r="AC259" i="30" s="1"/>
  <c r="AD259" i="30" s="1"/>
  <c r="S259" i="30"/>
  <c r="V259" i="30" s="1"/>
  <c r="W259" i="30" s="1"/>
  <c r="Y259" i="30" s="1"/>
  <c r="AA257" i="30"/>
  <c r="AC257" i="30" s="1"/>
  <c r="AD257" i="30" s="1"/>
  <c r="S257" i="30"/>
  <c r="V257" i="30" s="1"/>
  <c r="W257" i="30" s="1"/>
  <c r="Y257" i="30" s="1"/>
  <c r="AA255" i="30"/>
  <c r="AC255" i="30" s="1"/>
  <c r="AD255" i="30" s="1"/>
  <c r="S255" i="30"/>
  <c r="V255" i="30" s="1"/>
  <c r="W255" i="30" s="1"/>
  <c r="Y255" i="30" s="1"/>
  <c r="AA253" i="30"/>
  <c r="AC253" i="30" s="1"/>
  <c r="AD253" i="30" s="1"/>
  <c r="S253" i="30"/>
  <c r="V253" i="30" s="1"/>
  <c r="W253" i="30" s="1"/>
  <c r="Y253" i="30" s="1"/>
  <c r="AA251" i="30"/>
  <c r="AC251" i="30" s="1"/>
  <c r="AD251" i="30" s="1"/>
  <c r="S251" i="30"/>
  <c r="V251" i="30" s="1"/>
  <c r="W251" i="30" s="1"/>
  <c r="Y251" i="30" s="1"/>
  <c r="AA249" i="30"/>
  <c r="AC249" i="30" s="1"/>
  <c r="AD249" i="30" s="1"/>
  <c r="S249" i="30"/>
  <c r="V249" i="30" s="1"/>
  <c r="W249" i="30" s="1"/>
  <c r="Y249" i="30" s="1"/>
  <c r="AA247" i="30"/>
  <c r="AC247" i="30" s="1"/>
  <c r="AD247" i="30" s="1"/>
  <c r="S247" i="30"/>
  <c r="V247" i="30" s="1"/>
  <c r="W247" i="30" s="1"/>
  <c r="Y247" i="30" s="1"/>
  <c r="AA245" i="30"/>
  <c r="AC245" i="30" s="1"/>
  <c r="AD245" i="30" s="1"/>
  <c r="S245" i="30"/>
  <c r="V245" i="30" s="1"/>
  <c r="W245" i="30" s="1"/>
  <c r="Y245" i="30" s="1"/>
  <c r="AA243" i="30"/>
  <c r="AC243" i="30" s="1"/>
  <c r="AD243" i="30" s="1"/>
  <c r="S243" i="30"/>
  <c r="V243" i="30" s="1"/>
  <c r="W243" i="30" s="1"/>
  <c r="Y243" i="30" s="1"/>
  <c r="AA241" i="30"/>
  <c r="AC241" i="30" s="1"/>
  <c r="AD241" i="30" s="1"/>
  <c r="S241" i="30"/>
  <c r="V241" i="30" s="1"/>
  <c r="W241" i="30" s="1"/>
  <c r="Y241" i="30" s="1"/>
  <c r="AA239" i="30"/>
  <c r="AC239" i="30" s="1"/>
  <c r="AD239" i="30" s="1"/>
  <c r="S239" i="30"/>
  <c r="V239" i="30" s="1"/>
  <c r="W239" i="30" s="1"/>
  <c r="Y239" i="30" s="1"/>
  <c r="AA237" i="30"/>
  <c r="AC237" i="30" s="1"/>
  <c r="AD237" i="30" s="1"/>
  <c r="S237" i="30"/>
  <c r="V237" i="30" s="1"/>
  <c r="W237" i="30" s="1"/>
  <c r="Y237" i="30" s="1"/>
  <c r="AA235" i="30"/>
  <c r="AC235" i="30" s="1"/>
  <c r="AD235" i="30" s="1"/>
  <c r="S235" i="30"/>
  <c r="V235" i="30" s="1"/>
  <c r="W235" i="30" s="1"/>
  <c r="Y235" i="30" s="1"/>
  <c r="AA233" i="30"/>
  <c r="AC233" i="30" s="1"/>
  <c r="AD233" i="30" s="1"/>
  <c r="S233" i="30"/>
  <c r="V233" i="30" s="1"/>
  <c r="W233" i="30" s="1"/>
  <c r="Y233" i="30" s="1"/>
  <c r="AA231" i="30"/>
  <c r="S231" i="30"/>
  <c r="V231" i="30" s="1"/>
  <c r="W231" i="30" s="1"/>
  <c r="Y231" i="30" s="1"/>
  <c r="AA229" i="30"/>
  <c r="AC229" i="30" s="1"/>
  <c r="AD229" i="30" s="1"/>
  <c r="S229" i="30"/>
  <c r="V229" i="30" s="1"/>
  <c r="W229" i="30" s="1"/>
  <c r="Y229" i="30" s="1"/>
  <c r="AA227" i="30"/>
  <c r="AC227" i="30" s="1"/>
  <c r="AD227" i="30" s="1"/>
  <c r="S227" i="30"/>
  <c r="V227" i="30" s="1"/>
  <c r="W227" i="30" s="1"/>
  <c r="Y227" i="30" s="1"/>
  <c r="AA225" i="30"/>
  <c r="AC225" i="30" s="1"/>
  <c r="AD225" i="30" s="1"/>
  <c r="S225" i="30"/>
  <c r="V225" i="30" s="1"/>
  <c r="W225" i="30" s="1"/>
  <c r="Y225" i="30" s="1"/>
  <c r="AA223" i="30"/>
  <c r="AC223" i="30" s="1"/>
  <c r="AD223" i="30" s="1"/>
  <c r="S223" i="30"/>
  <c r="V223" i="30" s="1"/>
  <c r="W223" i="30" s="1"/>
  <c r="Y223" i="30" s="1"/>
  <c r="AA221" i="30"/>
  <c r="AC221" i="30" s="1"/>
  <c r="AD221" i="30" s="1"/>
  <c r="S221" i="30"/>
  <c r="V221" i="30" s="1"/>
  <c r="W221" i="30" s="1"/>
  <c r="Y221" i="30" s="1"/>
  <c r="AA219" i="30"/>
  <c r="AC219" i="30" s="1"/>
  <c r="AD219" i="30" s="1"/>
  <c r="S219" i="30"/>
  <c r="V219" i="30" s="1"/>
  <c r="W219" i="30" s="1"/>
  <c r="Y219" i="30" s="1"/>
  <c r="AA217" i="30"/>
  <c r="AC217" i="30" s="1"/>
  <c r="AD217" i="30" s="1"/>
  <c r="S217" i="30"/>
  <c r="V217" i="30" s="1"/>
  <c r="W217" i="30" s="1"/>
  <c r="Y217" i="30" s="1"/>
  <c r="AA215" i="30"/>
  <c r="AC215" i="30" s="1"/>
  <c r="AD215" i="30" s="1"/>
  <c r="S215" i="30"/>
  <c r="V215" i="30" s="1"/>
  <c r="W215" i="30" s="1"/>
  <c r="Y215" i="30" s="1"/>
  <c r="AA213" i="30"/>
  <c r="AC213" i="30" s="1"/>
  <c r="AD213" i="30" s="1"/>
  <c r="S213" i="30"/>
  <c r="V213" i="30" s="1"/>
  <c r="W213" i="30" s="1"/>
  <c r="Y213" i="30" s="1"/>
  <c r="AA211" i="30"/>
  <c r="AC211" i="30" s="1"/>
  <c r="AD211" i="30" s="1"/>
  <c r="S211" i="30"/>
  <c r="V211" i="30" s="1"/>
  <c r="W211" i="30" s="1"/>
  <c r="Y211" i="30" s="1"/>
  <c r="AA209" i="30"/>
  <c r="AC209" i="30" s="1"/>
  <c r="AD209" i="30" s="1"/>
  <c r="S209" i="30"/>
  <c r="T209" i="30"/>
  <c r="AA207" i="30"/>
  <c r="AC207" i="30" s="1"/>
  <c r="AD207" i="30" s="1"/>
  <c r="S207" i="30"/>
  <c r="T207" i="30"/>
  <c r="AA205" i="30"/>
  <c r="AC205" i="30" s="1"/>
  <c r="AD205" i="30" s="1"/>
  <c r="S205" i="30"/>
  <c r="T205" i="30"/>
  <c r="AA203" i="30"/>
  <c r="AC203" i="30" s="1"/>
  <c r="AD203" i="30" s="1"/>
  <c r="S203" i="30"/>
  <c r="T203" i="30"/>
  <c r="AA201" i="30"/>
  <c r="AC201" i="30" s="1"/>
  <c r="AD201" i="30" s="1"/>
  <c r="S201" i="30"/>
  <c r="T201" i="30"/>
  <c r="AA199" i="30"/>
  <c r="AC199" i="30" s="1"/>
  <c r="AD199" i="30" s="1"/>
  <c r="S199" i="30"/>
  <c r="T199" i="30"/>
  <c r="AA197" i="30"/>
  <c r="AC197" i="30" s="1"/>
  <c r="AD197" i="30" s="1"/>
  <c r="S197" i="30"/>
  <c r="T197" i="30"/>
  <c r="AA195" i="30"/>
  <c r="AC195" i="30" s="1"/>
  <c r="AD195" i="30" s="1"/>
  <c r="S195" i="30"/>
  <c r="T195" i="30"/>
  <c r="AA193" i="30"/>
  <c r="AC193" i="30" s="1"/>
  <c r="AD193" i="30" s="1"/>
  <c r="S193" i="30"/>
  <c r="T193" i="30"/>
  <c r="AA191" i="30"/>
  <c r="AC191" i="30" s="1"/>
  <c r="AD191" i="30" s="1"/>
  <c r="S191" i="30"/>
  <c r="T191" i="30"/>
  <c r="AA189" i="30"/>
  <c r="AC189" i="30" s="1"/>
  <c r="AD189" i="30" s="1"/>
  <c r="S189" i="30"/>
  <c r="T189" i="30"/>
  <c r="AA124" i="30"/>
  <c r="AC124" i="30" s="1"/>
  <c r="AD124" i="30" s="1"/>
  <c r="T124" i="30"/>
  <c r="S124" i="30"/>
  <c r="T123" i="30"/>
  <c r="AA123" i="30"/>
  <c r="AC123" i="30" s="1"/>
  <c r="AD123" i="30" s="1"/>
  <c r="S123" i="30"/>
  <c r="T122" i="30"/>
  <c r="AA122" i="30"/>
  <c r="AC122" i="30" s="1"/>
  <c r="AD122" i="30" s="1"/>
  <c r="S122" i="30"/>
  <c r="T121" i="30"/>
  <c r="AA121" i="30"/>
  <c r="AC121" i="30" s="1"/>
  <c r="AD121" i="30" s="1"/>
  <c r="S121" i="30"/>
  <c r="T120" i="30"/>
  <c r="AA120" i="30"/>
  <c r="AC120" i="30" s="1"/>
  <c r="AD120" i="30" s="1"/>
  <c r="S120" i="30"/>
  <c r="T119" i="30"/>
  <c r="AA119" i="30"/>
  <c r="AC119" i="30" s="1"/>
  <c r="AD119" i="30" s="1"/>
  <c r="S119" i="30"/>
  <c r="T118" i="30"/>
  <c r="AA118" i="30"/>
  <c r="AC118" i="30" s="1"/>
  <c r="AD118" i="30" s="1"/>
  <c r="S118" i="30"/>
  <c r="T117" i="30"/>
  <c r="AA117" i="30"/>
  <c r="AC117" i="30" s="1"/>
  <c r="AD117" i="30" s="1"/>
  <c r="S117" i="30"/>
  <c r="T116" i="30"/>
  <c r="AA116" i="30"/>
  <c r="AC116" i="30" s="1"/>
  <c r="AD116" i="30" s="1"/>
  <c r="S116" i="30"/>
  <c r="T115" i="30"/>
  <c r="AA115" i="30"/>
  <c r="AC115" i="30" s="1"/>
  <c r="AD115" i="30" s="1"/>
  <c r="S115" i="30"/>
  <c r="T114" i="30"/>
  <c r="AA114" i="30"/>
  <c r="AC114" i="30" s="1"/>
  <c r="AD114" i="30" s="1"/>
  <c r="S114" i="30"/>
  <c r="T113" i="30"/>
  <c r="AA113" i="30"/>
  <c r="AC113" i="30" s="1"/>
  <c r="AD113" i="30" s="1"/>
  <c r="S113" i="30"/>
  <c r="T112" i="30"/>
  <c r="AA112" i="30"/>
  <c r="AC112" i="30" s="1"/>
  <c r="AD112" i="30" s="1"/>
  <c r="S112" i="30"/>
  <c r="T111" i="30"/>
  <c r="AA111" i="30"/>
  <c r="AC111" i="30" s="1"/>
  <c r="AD111" i="30" s="1"/>
  <c r="S111" i="30"/>
  <c r="T110" i="30"/>
  <c r="AA110" i="30"/>
  <c r="AC110" i="30" s="1"/>
  <c r="AD110" i="30" s="1"/>
  <c r="S110" i="30"/>
  <c r="T109" i="30"/>
  <c r="AA109" i="30"/>
  <c r="AC109" i="30" s="1"/>
  <c r="AD109" i="30" s="1"/>
  <c r="S109" i="30"/>
  <c r="T108" i="30"/>
  <c r="AA108" i="30"/>
  <c r="AC108" i="30" s="1"/>
  <c r="AD108" i="30" s="1"/>
  <c r="S108" i="30"/>
  <c r="T107" i="30"/>
  <c r="AA107" i="30"/>
  <c r="AC107" i="30" s="1"/>
  <c r="AD107" i="30" s="1"/>
  <c r="S107" i="30"/>
  <c r="T106" i="30"/>
  <c r="AA106" i="30"/>
  <c r="AC106" i="30" s="1"/>
  <c r="AD106" i="30" s="1"/>
  <c r="S106" i="30"/>
  <c r="T104" i="30"/>
  <c r="AA104" i="30"/>
  <c r="AC104" i="30" s="1"/>
  <c r="AD104" i="30" s="1"/>
  <c r="S104" i="30"/>
  <c r="T101" i="30"/>
  <c r="AA101" i="30"/>
  <c r="AC101" i="30" s="1"/>
  <c r="AD101" i="30" s="1"/>
  <c r="S101" i="30"/>
  <c r="T99" i="30"/>
  <c r="AA99" i="30"/>
  <c r="AC99" i="30" s="1"/>
  <c r="AD99" i="30" s="1"/>
  <c r="S99" i="30"/>
  <c r="T17" i="30"/>
  <c r="AA17" i="30"/>
  <c r="AC17" i="30" s="1"/>
  <c r="AD17" i="30" s="1"/>
  <c r="S17" i="30"/>
  <c r="S187" i="30"/>
  <c r="AA187" i="30"/>
  <c r="AC187" i="30" s="1"/>
  <c r="AD187" i="30" s="1"/>
  <c r="T187" i="30"/>
  <c r="AA180" i="30"/>
  <c r="AC180" i="30" s="1"/>
  <c r="AD180" i="30" s="1"/>
  <c r="S180" i="30"/>
  <c r="T180" i="30"/>
  <c r="AA179" i="30"/>
  <c r="AC179" i="30" s="1"/>
  <c r="AD179" i="30" s="1"/>
  <c r="S179" i="30"/>
  <c r="T179" i="30"/>
  <c r="AA178" i="30"/>
  <c r="AC178" i="30" s="1"/>
  <c r="AD178" i="30" s="1"/>
  <c r="S178" i="30"/>
  <c r="T178" i="30"/>
  <c r="AA177" i="30"/>
  <c r="AC177" i="30" s="1"/>
  <c r="AD177" i="30" s="1"/>
  <c r="S177" i="30"/>
  <c r="T177" i="30"/>
  <c r="AA176" i="30"/>
  <c r="AC176" i="30" s="1"/>
  <c r="AD176" i="30" s="1"/>
  <c r="S176" i="30"/>
  <c r="T176" i="30"/>
  <c r="AA175" i="30"/>
  <c r="AC175" i="30" s="1"/>
  <c r="AD175" i="30" s="1"/>
  <c r="S175" i="30"/>
  <c r="T175" i="30"/>
  <c r="AA174" i="30"/>
  <c r="AC174" i="30" s="1"/>
  <c r="AD174" i="30" s="1"/>
  <c r="S174" i="30"/>
  <c r="T174" i="30"/>
  <c r="AA173" i="30"/>
  <c r="AC173" i="30" s="1"/>
  <c r="AD173" i="30" s="1"/>
  <c r="S173" i="30"/>
  <c r="T173" i="30"/>
  <c r="AA172" i="30"/>
  <c r="AC172" i="30" s="1"/>
  <c r="AD172" i="30" s="1"/>
  <c r="S172" i="30"/>
  <c r="T172" i="30"/>
  <c r="AA171" i="30"/>
  <c r="AC171" i="30" s="1"/>
  <c r="AD171" i="30" s="1"/>
  <c r="S171" i="30"/>
  <c r="T171" i="30"/>
  <c r="AA170" i="30"/>
  <c r="AC170" i="30" s="1"/>
  <c r="AD170" i="30" s="1"/>
  <c r="S170" i="30"/>
  <c r="T170" i="30"/>
  <c r="AA168" i="30"/>
  <c r="AC168" i="30" s="1"/>
  <c r="AD168" i="30" s="1"/>
  <c r="S168" i="30"/>
  <c r="T168" i="30"/>
  <c r="AA166" i="30"/>
  <c r="AC166" i="30" s="1"/>
  <c r="AD166" i="30" s="1"/>
  <c r="S166" i="30"/>
  <c r="T166" i="30"/>
  <c r="AA164" i="30"/>
  <c r="AC164" i="30" s="1"/>
  <c r="AD164" i="30" s="1"/>
  <c r="S164" i="30"/>
  <c r="T164" i="30"/>
  <c r="AA162" i="30"/>
  <c r="AC162" i="30" s="1"/>
  <c r="AD162" i="30" s="1"/>
  <c r="S162" i="30"/>
  <c r="T162" i="30"/>
  <c r="AA160" i="30"/>
  <c r="AC160" i="30" s="1"/>
  <c r="AD160" i="30" s="1"/>
  <c r="S160" i="30"/>
  <c r="T160" i="30"/>
  <c r="AA158" i="30"/>
  <c r="AC158" i="30" s="1"/>
  <c r="AD158" i="30" s="1"/>
  <c r="S158" i="30"/>
  <c r="T158" i="30"/>
  <c r="AA156" i="30"/>
  <c r="AC156" i="30" s="1"/>
  <c r="AD156" i="30" s="1"/>
  <c r="S156" i="30"/>
  <c r="T156" i="30"/>
  <c r="AA154" i="30"/>
  <c r="AC154" i="30" s="1"/>
  <c r="AD154" i="30" s="1"/>
  <c r="S154" i="30"/>
  <c r="T154" i="30"/>
  <c r="AA152" i="30"/>
  <c r="AC152" i="30" s="1"/>
  <c r="AD152" i="30" s="1"/>
  <c r="S152" i="30"/>
  <c r="T152" i="30"/>
  <c r="AA150" i="30"/>
  <c r="AC150" i="30" s="1"/>
  <c r="AD150" i="30" s="1"/>
  <c r="S150" i="30"/>
  <c r="T150" i="30"/>
  <c r="AA148" i="30"/>
  <c r="AC148" i="30" s="1"/>
  <c r="AD148" i="30" s="1"/>
  <c r="S148" i="30"/>
  <c r="T148" i="30"/>
  <c r="AA146" i="30"/>
  <c r="AC146" i="30" s="1"/>
  <c r="AD146" i="30" s="1"/>
  <c r="S146" i="30"/>
  <c r="T146" i="30"/>
  <c r="AA144" i="30"/>
  <c r="AC144" i="30" s="1"/>
  <c r="AD144" i="30" s="1"/>
  <c r="S144" i="30"/>
  <c r="T144" i="30"/>
  <c r="AA142" i="30"/>
  <c r="AC142" i="30" s="1"/>
  <c r="AD142" i="30" s="1"/>
  <c r="S142" i="30"/>
  <c r="T142" i="30"/>
  <c r="AA140" i="30"/>
  <c r="AC140" i="30" s="1"/>
  <c r="AD140" i="30" s="1"/>
  <c r="S140" i="30"/>
  <c r="T140" i="30"/>
  <c r="AA138" i="30"/>
  <c r="AC138" i="30" s="1"/>
  <c r="AD138" i="30" s="1"/>
  <c r="S138" i="30"/>
  <c r="T138" i="30"/>
  <c r="AA136" i="30"/>
  <c r="AC136" i="30" s="1"/>
  <c r="AD136" i="30" s="1"/>
  <c r="S136" i="30"/>
  <c r="T136" i="30"/>
  <c r="AA134" i="30"/>
  <c r="AC134" i="30" s="1"/>
  <c r="AD134" i="30" s="1"/>
  <c r="S134" i="30"/>
  <c r="T134" i="30"/>
  <c r="AA132" i="30"/>
  <c r="AC132" i="30" s="1"/>
  <c r="AD132" i="30" s="1"/>
  <c r="S132" i="30"/>
  <c r="T132" i="30"/>
  <c r="AA130" i="30"/>
  <c r="AC130" i="30" s="1"/>
  <c r="AD130" i="30" s="1"/>
  <c r="S130" i="30"/>
  <c r="T130" i="30"/>
  <c r="AA128" i="30"/>
  <c r="AC128" i="30" s="1"/>
  <c r="AD128" i="30" s="1"/>
  <c r="S128" i="30"/>
  <c r="T128" i="30"/>
  <c r="AA126" i="30"/>
  <c r="AC126" i="30" s="1"/>
  <c r="AD126" i="30" s="1"/>
  <c r="S126" i="30"/>
  <c r="T126" i="30"/>
  <c r="AA103" i="30"/>
  <c r="AC103" i="30" s="1"/>
  <c r="AD103" i="30" s="1"/>
  <c r="S103" i="30"/>
  <c r="T103" i="30"/>
  <c r="AA100" i="30"/>
  <c r="AC100" i="30" s="1"/>
  <c r="AD100" i="30" s="1"/>
  <c r="S100" i="30"/>
  <c r="T100" i="30"/>
  <c r="AA95" i="30"/>
  <c r="AC95" i="30" s="1"/>
  <c r="AD95" i="30" s="1"/>
  <c r="S95" i="30"/>
  <c r="T95" i="30"/>
  <c r="AA92" i="30"/>
  <c r="AC92" i="30" s="1"/>
  <c r="AD92" i="30" s="1"/>
  <c r="S92" i="30"/>
  <c r="T92" i="30"/>
  <c r="AA90" i="30"/>
  <c r="AC90" i="30" s="1"/>
  <c r="AD90" i="30" s="1"/>
  <c r="S90" i="30"/>
  <c r="T90" i="30"/>
  <c r="AA88" i="30"/>
  <c r="AC88" i="30" s="1"/>
  <c r="AD88" i="30" s="1"/>
  <c r="S88" i="30"/>
  <c r="T88" i="30"/>
  <c r="AA86" i="30"/>
  <c r="AC86" i="30" s="1"/>
  <c r="AD86" i="30" s="1"/>
  <c r="S86" i="30"/>
  <c r="T86" i="30"/>
  <c r="AA84" i="30"/>
  <c r="AC84" i="30" s="1"/>
  <c r="AD84" i="30" s="1"/>
  <c r="S84" i="30"/>
  <c r="T84" i="30"/>
  <c r="AA82" i="30"/>
  <c r="AC82" i="30" s="1"/>
  <c r="AD82" i="30" s="1"/>
  <c r="S82" i="30"/>
  <c r="T82" i="30"/>
  <c r="AA80" i="30"/>
  <c r="AC80" i="30" s="1"/>
  <c r="AD80" i="30" s="1"/>
  <c r="S80" i="30"/>
  <c r="T80" i="30"/>
  <c r="AA78" i="30"/>
  <c r="AC78" i="30" s="1"/>
  <c r="AD78" i="30" s="1"/>
  <c r="S78" i="30"/>
  <c r="T78" i="30"/>
  <c r="AA76" i="30"/>
  <c r="AC76" i="30" s="1"/>
  <c r="AD76" i="30" s="1"/>
  <c r="S76" i="30"/>
  <c r="T76" i="30"/>
  <c r="AA74" i="30"/>
  <c r="AC74" i="30" s="1"/>
  <c r="AD74" i="30" s="1"/>
  <c r="S74" i="30"/>
  <c r="T74" i="30"/>
  <c r="AA72" i="30"/>
  <c r="AC72" i="30" s="1"/>
  <c r="AD72" i="30" s="1"/>
  <c r="S72" i="30"/>
  <c r="T72" i="30"/>
  <c r="AA70" i="30"/>
  <c r="AC70" i="30" s="1"/>
  <c r="AD70" i="30" s="1"/>
  <c r="S70" i="30"/>
  <c r="T70" i="30"/>
  <c r="AA67" i="30"/>
  <c r="AC67" i="30" s="1"/>
  <c r="AD67" i="30" s="1"/>
  <c r="S67" i="30"/>
  <c r="T67" i="30"/>
  <c r="AA65" i="30"/>
  <c r="AC65" i="30" s="1"/>
  <c r="AD65" i="30" s="1"/>
  <c r="S65" i="30"/>
  <c r="T65" i="30"/>
  <c r="AA62" i="30"/>
  <c r="AC62" i="30" s="1"/>
  <c r="AD62" i="30" s="1"/>
  <c r="S62" i="30"/>
  <c r="T62" i="30"/>
  <c r="AA59" i="30"/>
  <c r="AC59" i="30" s="1"/>
  <c r="AD59" i="30" s="1"/>
  <c r="S59" i="30"/>
  <c r="T59" i="30"/>
  <c r="AA57" i="30"/>
  <c r="AC57" i="30" s="1"/>
  <c r="AD57" i="30" s="1"/>
  <c r="S57" i="30"/>
  <c r="T57" i="30"/>
  <c r="AA54" i="30"/>
  <c r="AC54" i="30" s="1"/>
  <c r="AD54" i="30" s="1"/>
  <c r="S54" i="30"/>
  <c r="T54" i="30"/>
  <c r="AA37" i="30"/>
  <c r="AC37" i="30" s="1"/>
  <c r="AD37" i="30" s="1"/>
  <c r="S37" i="30"/>
  <c r="T37" i="30"/>
  <c r="AA35" i="30"/>
  <c r="AC35" i="30" s="1"/>
  <c r="AD35" i="30" s="1"/>
  <c r="S35" i="30"/>
  <c r="T35" i="30"/>
  <c r="AA33" i="30"/>
  <c r="AC33" i="30" s="1"/>
  <c r="AD33" i="30" s="1"/>
  <c r="S33" i="30"/>
  <c r="T33" i="30"/>
  <c r="AA31" i="30"/>
  <c r="AC31" i="30" s="1"/>
  <c r="AD31" i="30" s="1"/>
  <c r="S31" i="30"/>
  <c r="T31" i="30"/>
  <c r="AA29" i="30"/>
  <c r="AC29" i="30" s="1"/>
  <c r="AD29" i="30" s="1"/>
  <c r="S29" i="30"/>
  <c r="T29" i="30"/>
  <c r="AA27" i="30"/>
  <c r="AC27" i="30" s="1"/>
  <c r="AD27" i="30" s="1"/>
  <c r="S27" i="30"/>
  <c r="T27" i="30"/>
  <c r="AA25" i="30"/>
  <c r="AC25" i="30" s="1"/>
  <c r="AD25" i="30" s="1"/>
  <c r="S25" i="30"/>
  <c r="T25" i="30"/>
  <c r="AA11" i="30"/>
  <c r="AC11" i="30" s="1"/>
  <c r="AD11" i="30" s="1"/>
  <c r="S11" i="30"/>
  <c r="T11" i="30"/>
  <c r="AA567" i="30"/>
  <c r="AC567" i="30" s="1"/>
  <c r="AD567" i="30" s="1"/>
  <c r="S567" i="30"/>
  <c r="V567" i="30" s="1"/>
  <c r="W567" i="30" s="1"/>
  <c r="Y567" i="30" s="1"/>
  <c r="S574" i="30"/>
  <c r="V574" i="30" s="1"/>
  <c r="W574" i="30" s="1"/>
  <c r="Y574" i="30" s="1"/>
  <c r="AA574" i="30"/>
  <c r="AC574" i="30" s="1"/>
  <c r="AD574" i="30" s="1"/>
  <c r="S570" i="30"/>
  <c r="V570" i="30" s="1"/>
  <c r="W570" i="30" s="1"/>
  <c r="Y570" i="30" s="1"/>
  <c r="AA570" i="30"/>
  <c r="AC570" i="30" s="1"/>
  <c r="AD570" i="30" s="1"/>
  <c r="S564" i="30"/>
  <c r="V564" i="30" s="1"/>
  <c r="W564" i="30" s="1"/>
  <c r="Y564" i="30" s="1"/>
  <c r="AA564" i="30"/>
  <c r="AC564" i="30" s="1"/>
  <c r="AD564" i="30" s="1"/>
  <c r="S560" i="30"/>
  <c r="V560" i="30" s="1"/>
  <c r="W560" i="30" s="1"/>
  <c r="Y560" i="30" s="1"/>
  <c r="AA560" i="30"/>
  <c r="AC560" i="30" s="1"/>
  <c r="AD560" i="30" s="1"/>
  <c r="V562" i="30"/>
  <c r="W562" i="30" s="1"/>
  <c r="Y562" i="30" s="1"/>
  <c r="AC559" i="30"/>
  <c r="AD559" i="30" s="1"/>
  <c r="AA557" i="30"/>
  <c r="AC557" i="30" s="1"/>
  <c r="AD557" i="30" s="1"/>
  <c r="S557" i="30"/>
  <c r="V557" i="30" s="1"/>
  <c r="W557" i="30" s="1"/>
  <c r="Y557" i="30" s="1"/>
  <c r="S555" i="30"/>
  <c r="V555" i="30" s="1"/>
  <c r="W555" i="30" s="1"/>
  <c r="Y555" i="30" s="1"/>
  <c r="AA555" i="30"/>
  <c r="AC555" i="30" s="1"/>
  <c r="AD555" i="30" s="1"/>
  <c r="S528" i="30"/>
  <c r="V528" i="30" s="1"/>
  <c r="W528" i="30" s="1"/>
  <c r="Y528" i="30" s="1"/>
  <c r="AA528" i="30"/>
  <c r="AC528" i="30" s="1"/>
  <c r="AD528" i="30" s="1"/>
  <c r="S524" i="30"/>
  <c r="V524" i="30" s="1"/>
  <c r="W524" i="30" s="1"/>
  <c r="Y524" i="30" s="1"/>
  <c r="AA524" i="30"/>
  <c r="AC524" i="30" s="1"/>
  <c r="AD524" i="30" s="1"/>
  <c r="S520" i="30"/>
  <c r="V520" i="30" s="1"/>
  <c r="W520" i="30" s="1"/>
  <c r="Y520" i="30" s="1"/>
  <c r="AA520" i="30"/>
  <c r="AC520" i="30" s="1"/>
  <c r="AD520" i="30" s="1"/>
  <c r="V509" i="30"/>
  <c r="W509" i="30" s="1"/>
  <c r="Y509" i="30" s="1"/>
  <c r="AC519" i="30"/>
  <c r="AD519" i="30" s="1"/>
  <c r="T516" i="30"/>
  <c r="AA516" i="30"/>
  <c r="AC516" i="30" s="1"/>
  <c r="AD516" i="30" s="1"/>
  <c r="S516" i="30"/>
  <c r="T514" i="30"/>
  <c r="AA514" i="30"/>
  <c r="AC514" i="30" s="1"/>
  <c r="AD514" i="30" s="1"/>
  <c r="S514" i="30"/>
  <c r="T512" i="30"/>
  <c r="AA512" i="30"/>
  <c r="AC512" i="30" s="1"/>
  <c r="AD512" i="30" s="1"/>
  <c r="S512" i="30"/>
  <c r="T510" i="30"/>
  <c r="AA510" i="30"/>
  <c r="AC510" i="30" s="1"/>
  <c r="AD510" i="30" s="1"/>
  <c r="S510" i="30"/>
  <c r="T508" i="30"/>
  <c r="AA508" i="30"/>
  <c r="AC508" i="30" s="1"/>
  <c r="AD508" i="30" s="1"/>
  <c r="S508" i="30"/>
  <c r="AA490" i="30"/>
  <c r="AC490" i="30" s="1"/>
  <c r="AD490" i="30" s="1"/>
  <c r="S490" i="30"/>
  <c r="V490" i="30" s="1"/>
  <c r="W490" i="30" s="1"/>
  <c r="Y490" i="30" s="1"/>
  <c r="AA488" i="30"/>
  <c r="AC488" i="30" s="1"/>
  <c r="AD488" i="30" s="1"/>
  <c r="S488" i="30"/>
  <c r="V488" i="30" s="1"/>
  <c r="W488" i="30" s="1"/>
  <c r="Y488" i="30" s="1"/>
  <c r="AA486" i="30"/>
  <c r="AC486" i="30" s="1"/>
  <c r="AD486" i="30" s="1"/>
  <c r="S486" i="30"/>
  <c r="V486" i="30" s="1"/>
  <c r="W486" i="30" s="1"/>
  <c r="Y486" i="30" s="1"/>
  <c r="AA484" i="30"/>
  <c r="AC484" i="30" s="1"/>
  <c r="AD484" i="30" s="1"/>
  <c r="S484" i="30"/>
  <c r="V484" i="30" s="1"/>
  <c r="W484" i="30" s="1"/>
  <c r="Y484" i="30" s="1"/>
  <c r="AA482" i="30"/>
  <c r="AC482" i="30" s="1"/>
  <c r="AD482" i="30" s="1"/>
  <c r="S482" i="30"/>
  <c r="V482" i="30" s="1"/>
  <c r="W482" i="30" s="1"/>
  <c r="Y482" i="30" s="1"/>
  <c r="AA480" i="30"/>
  <c r="AC480" i="30" s="1"/>
  <c r="AD480" i="30" s="1"/>
  <c r="S480" i="30"/>
  <c r="V480" i="30" s="1"/>
  <c r="W480" i="30" s="1"/>
  <c r="Y480" i="30" s="1"/>
  <c r="AA478" i="30"/>
  <c r="AC478" i="30" s="1"/>
  <c r="AD478" i="30" s="1"/>
  <c r="S478" i="30"/>
  <c r="V478" i="30" s="1"/>
  <c r="W478" i="30" s="1"/>
  <c r="Y478" i="30" s="1"/>
  <c r="AA476" i="30"/>
  <c r="AC476" i="30" s="1"/>
  <c r="AD476" i="30" s="1"/>
  <c r="S476" i="30"/>
  <c r="V476" i="30" s="1"/>
  <c r="W476" i="30" s="1"/>
  <c r="Y476" i="30" s="1"/>
  <c r="AA474" i="30"/>
  <c r="AC474" i="30" s="1"/>
  <c r="AD474" i="30" s="1"/>
  <c r="S474" i="30"/>
  <c r="V474" i="30" s="1"/>
  <c r="W474" i="30" s="1"/>
  <c r="Y474" i="30" s="1"/>
  <c r="AA472" i="30"/>
  <c r="AC472" i="30" s="1"/>
  <c r="AD472" i="30" s="1"/>
  <c r="S472" i="30"/>
  <c r="V472" i="30" s="1"/>
  <c r="W472" i="30" s="1"/>
  <c r="Y472" i="30" s="1"/>
  <c r="AA470" i="30"/>
  <c r="AC470" i="30" s="1"/>
  <c r="AD470" i="30" s="1"/>
  <c r="S470" i="30"/>
  <c r="V470" i="30" s="1"/>
  <c r="W470" i="30" s="1"/>
  <c r="Y470" i="30" s="1"/>
  <c r="AA468" i="30"/>
  <c r="AC468" i="30" s="1"/>
  <c r="AD468" i="30" s="1"/>
  <c r="S468" i="30"/>
  <c r="V468" i="30" s="1"/>
  <c r="W468" i="30" s="1"/>
  <c r="Y468" i="30" s="1"/>
  <c r="AA466" i="30"/>
  <c r="AC466" i="30" s="1"/>
  <c r="AD466" i="30" s="1"/>
  <c r="S466" i="30"/>
  <c r="V466" i="30" s="1"/>
  <c r="W466" i="30" s="1"/>
  <c r="Y466" i="30" s="1"/>
  <c r="AA464" i="30"/>
  <c r="AC464" i="30" s="1"/>
  <c r="AD464" i="30" s="1"/>
  <c r="S464" i="30"/>
  <c r="V464" i="30" s="1"/>
  <c r="W464" i="30" s="1"/>
  <c r="Y464" i="30" s="1"/>
  <c r="AA462" i="30"/>
  <c r="AC462" i="30" s="1"/>
  <c r="AD462" i="30" s="1"/>
  <c r="S462" i="30"/>
  <c r="V462" i="30" s="1"/>
  <c r="W462" i="30" s="1"/>
  <c r="Y462" i="30" s="1"/>
  <c r="AA460" i="30"/>
  <c r="AC460" i="30" s="1"/>
  <c r="AD460" i="30" s="1"/>
  <c r="S460" i="30"/>
  <c r="V460" i="30" s="1"/>
  <c r="W460" i="30" s="1"/>
  <c r="Y460" i="30" s="1"/>
  <c r="AA502" i="30"/>
  <c r="AC502" i="30" s="1"/>
  <c r="AD502" i="30" s="1"/>
  <c r="S502" i="30"/>
  <c r="T502" i="30"/>
  <c r="AA498" i="30"/>
  <c r="AC498" i="30" s="1"/>
  <c r="AD498" i="30" s="1"/>
  <c r="S498" i="30"/>
  <c r="T498" i="30"/>
  <c r="AA494" i="30"/>
  <c r="AC494" i="30" s="1"/>
  <c r="AD494" i="30" s="1"/>
  <c r="S494" i="30"/>
  <c r="T494" i="30"/>
  <c r="S452" i="30"/>
  <c r="V452" i="30" s="1"/>
  <c r="W452" i="30" s="1"/>
  <c r="Y452" i="30" s="1"/>
  <c r="AA452" i="30"/>
  <c r="AC452" i="30" s="1"/>
  <c r="AD452" i="30" s="1"/>
  <c r="S450" i="30"/>
  <c r="V450" i="30" s="1"/>
  <c r="W450" i="30" s="1"/>
  <c r="Y450" i="30" s="1"/>
  <c r="AA450" i="30"/>
  <c r="AC450" i="30" s="1"/>
  <c r="AD450" i="30" s="1"/>
  <c r="S448" i="30"/>
  <c r="V448" i="30" s="1"/>
  <c r="W448" i="30" s="1"/>
  <c r="Y448" i="30" s="1"/>
  <c r="AA448" i="30"/>
  <c r="AC448" i="30" s="1"/>
  <c r="AD448" i="30" s="1"/>
  <c r="S446" i="30"/>
  <c r="V446" i="30" s="1"/>
  <c r="W446" i="30" s="1"/>
  <c r="Y446" i="30" s="1"/>
  <c r="AA446" i="30"/>
  <c r="AC446" i="30" s="1"/>
  <c r="AD446" i="30" s="1"/>
  <c r="S444" i="30"/>
  <c r="V444" i="30" s="1"/>
  <c r="W444" i="30" s="1"/>
  <c r="Y444" i="30" s="1"/>
  <c r="AA444" i="30"/>
  <c r="AC444" i="30" s="1"/>
  <c r="AD444" i="30" s="1"/>
  <c r="S442" i="30"/>
  <c r="V442" i="30" s="1"/>
  <c r="W442" i="30" s="1"/>
  <c r="Y442" i="30" s="1"/>
  <c r="AA442" i="30"/>
  <c r="AC442" i="30" s="1"/>
  <c r="AD442" i="30" s="1"/>
  <c r="S440" i="30"/>
  <c r="V440" i="30" s="1"/>
  <c r="W440" i="30" s="1"/>
  <c r="Y440" i="30" s="1"/>
  <c r="AA440" i="30"/>
  <c r="AC440" i="30" s="1"/>
  <c r="AD440" i="30" s="1"/>
  <c r="S438" i="30"/>
  <c r="V438" i="30" s="1"/>
  <c r="W438" i="30" s="1"/>
  <c r="Y438" i="30" s="1"/>
  <c r="AA438" i="30"/>
  <c r="AC438" i="30" s="1"/>
  <c r="AD438" i="30" s="1"/>
  <c r="S436" i="30"/>
  <c r="V436" i="30" s="1"/>
  <c r="W436" i="30" s="1"/>
  <c r="Y436" i="30" s="1"/>
  <c r="AA436" i="30"/>
  <c r="AC436" i="30" s="1"/>
  <c r="AD436" i="30" s="1"/>
  <c r="S434" i="30"/>
  <c r="V434" i="30" s="1"/>
  <c r="W434" i="30" s="1"/>
  <c r="Y434" i="30" s="1"/>
  <c r="AA434" i="30"/>
  <c r="AC434" i="30" s="1"/>
  <c r="AD434" i="30" s="1"/>
  <c r="S432" i="30"/>
  <c r="V432" i="30" s="1"/>
  <c r="W432" i="30" s="1"/>
  <c r="Y432" i="30" s="1"/>
  <c r="AA432" i="30"/>
  <c r="AC432" i="30" s="1"/>
  <c r="AD432" i="30" s="1"/>
  <c r="S430" i="30"/>
  <c r="V430" i="30" s="1"/>
  <c r="W430" i="30" s="1"/>
  <c r="Y430" i="30" s="1"/>
  <c r="AA430" i="30"/>
  <c r="AC430" i="30" s="1"/>
  <c r="AD430" i="30" s="1"/>
  <c r="S428" i="30"/>
  <c r="V428" i="30" s="1"/>
  <c r="W428" i="30" s="1"/>
  <c r="Y428" i="30" s="1"/>
  <c r="AA428" i="30"/>
  <c r="AC428" i="30" s="1"/>
  <c r="AD428" i="30" s="1"/>
  <c r="S426" i="30"/>
  <c r="V426" i="30" s="1"/>
  <c r="W426" i="30" s="1"/>
  <c r="Y426" i="30" s="1"/>
  <c r="AA426" i="30"/>
  <c r="AC426" i="30" s="1"/>
  <c r="AD426" i="30" s="1"/>
  <c r="S424" i="30"/>
  <c r="V424" i="30" s="1"/>
  <c r="W424" i="30" s="1"/>
  <c r="Y424" i="30" s="1"/>
  <c r="AA424" i="30"/>
  <c r="AC424" i="30" s="1"/>
  <c r="AD424" i="30" s="1"/>
  <c r="S422" i="30"/>
  <c r="V422" i="30" s="1"/>
  <c r="W422" i="30" s="1"/>
  <c r="Y422" i="30" s="1"/>
  <c r="AA422" i="30"/>
  <c r="AC422" i="30" s="1"/>
  <c r="AD422" i="30" s="1"/>
  <c r="S420" i="30"/>
  <c r="V420" i="30" s="1"/>
  <c r="W420" i="30" s="1"/>
  <c r="Y420" i="30" s="1"/>
  <c r="AA420" i="30"/>
  <c r="AC420" i="30" s="1"/>
  <c r="AD420" i="30" s="1"/>
  <c r="S418" i="30"/>
  <c r="V418" i="30" s="1"/>
  <c r="W418" i="30" s="1"/>
  <c r="Y418" i="30" s="1"/>
  <c r="AA418" i="30"/>
  <c r="AC418" i="30" s="1"/>
  <c r="AD418" i="30" s="1"/>
  <c r="S416" i="30"/>
  <c r="V416" i="30" s="1"/>
  <c r="W416" i="30" s="1"/>
  <c r="Y416" i="30" s="1"/>
  <c r="AA416" i="30"/>
  <c r="AC416" i="30" s="1"/>
  <c r="AD416" i="30" s="1"/>
  <c r="S414" i="30"/>
  <c r="V414" i="30" s="1"/>
  <c r="W414" i="30" s="1"/>
  <c r="Y414" i="30" s="1"/>
  <c r="AA414" i="30"/>
  <c r="AC414" i="30" s="1"/>
  <c r="AD414" i="30" s="1"/>
  <c r="S412" i="30"/>
  <c r="V412" i="30" s="1"/>
  <c r="W412" i="30" s="1"/>
  <c r="Y412" i="30" s="1"/>
  <c r="AA412" i="30"/>
  <c r="AC412" i="30" s="1"/>
  <c r="AD412" i="30" s="1"/>
  <c r="S410" i="30"/>
  <c r="V410" i="30" s="1"/>
  <c r="W410" i="30" s="1"/>
  <c r="Y410" i="30" s="1"/>
  <c r="AA410" i="30"/>
  <c r="AC410" i="30" s="1"/>
  <c r="AD410" i="30" s="1"/>
  <c r="S408" i="30"/>
  <c r="V408" i="30" s="1"/>
  <c r="W408" i="30" s="1"/>
  <c r="Y408" i="30" s="1"/>
  <c r="AA408" i="30"/>
  <c r="AC408" i="30" s="1"/>
  <c r="AD408" i="30" s="1"/>
  <c r="S406" i="30"/>
  <c r="V406" i="30" s="1"/>
  <c r="W406" i="30" s="1"/>
  <c r="Y406" i="30" s="1"/>
  <c r="AA406" i="30"/>
  <c r="AC406" i="30" s="1"/>
  <c r="AD406" i="30" s="1"/>
  <c r="AC441" i="30"/>
  <c r="AD441" i="30" s="1"/>
  <c r="AC425" i="30"/>
  <c r="AD425" i="30" s="1"/>
  <c r="AC409" i="30"/>
  <c r="AD409" i="30" s="1"/>
  <c r="S288" i="30"/>
  <c r="V288" i="30" s="1"/>
  <c r="W288" i="30" s="1"/>
  <c r="Y288" i="30" s="1"/>
  <c r="AA288" i="30"/>
  <c r="AC288" i="30" s="1"/>
  <c r="AD288" i="30" s="1"/>
  <c r="S286" i="30"/>
  <c r="V286" i="30" s="1"/>
  <c r="W286" i="30" s="1"/>
  <c r="Y286" i="30" s="1"/>
  <c r="AA286" i="30"/>
  <c r="AC286" i="30" s="1"/>
  <c r="AD286" i="30" s="1"/>
  <c r="S284" i="30"/>
  <c r="V284" i="30" s="1"/>
  <c r="W284" i="30" s="1"/>
  <c r="Y284" i="30" s="1"/>
  <c r="AA284" i="30"/>
  <c r="AC284" i="30" s="1"/>
  <c r="AD284" i="30" s="1"/>
  <c r="S282" i="30"/>
  <c r="V282" i="30" s="1"/>
  <c r="W282" i="30" s="1"/>
  <c r="Y282" i="30" s="1"/>
  <c r="AA282" i="30"/>
  <c r="AC282" i="30" s="1"/>
  <c r="AD282" i="30" s="1"/>
  <c r="S280" i="30"/>
  <c r="V280" i="30" s="1"/>
  <c r="W280" i="30" s="1"/>
  <c r="Y280" i="30" s="1"/>
  <c r="AA280" i="30"/>
  <c r="AC280" i="30" s="1"/>
  <c r="AD280" i="30" s="1"/>
  <c r="S278" i="30"/>
  <c r="V278" i="30" s="1"/>
  <c r="W278" i="30" s="1"/>
  <c r="Y278" i="30" s="1"/>
  <c r="AA278" i="30"/>
  <c r="AC278" i="30" s="1"/>
  <c r="AD278" i="30" s="1"/>
  <c r="S276" i="30"/>
  <c r="V276" i="30" s="1"/>
  <c r="W276" i="30" s="1"/>
  <c r="Y276" i="30" s="1"/>
  <c r="AA276" i="30"/>
  <c r="AC276" i="30" s="1"/>
  <c r="AD276" i="30" s="1"/>
  <c r="S274" i="30"/>
  <c r="V274" i="30" s="1"/>
  <c r="W274" i="30" s="1"/>
  <c r="Y274" i="30" s="1"/>
  <c r="AA274" i="30"/>
  <c r="AC274" i="30" s="1"/>
  <c r="AD274" i="30" s="1"/>
  <c r="S272" i="30"/>
  <c r="V272" i="30" s="1"/>
  <c r="W272" i="30" s="1"/>
  <c r="Y272" i="30" s="1"/>
  <c r="AA272" i="30"/>
  <c r="AC272" i="30" s="1"/>
  <c r="AD272" i="30" s="1"/>
  <c r="S270" i="30"/>
  <c r="V270" i="30" s="1"/>
  <c r="W270" i="30" s="1"/>
  <c r="Y270" i="30" s="1"/>
  <c r="AA270" i="30"/>
  <c r="AC270" i="30" s="1"/>
  <c r="AD270" i="30" s="1"/>
  <c r="S268" i="30"/>
  <c r="V268" i="30" s="1"/>
  <c r="W268" i="30" s="1"/>
  <c r="Y268" i="30" s="1"/>
  <c r="AA268" i="30"/>
  <c r="AC268" i="30" s="1"/>
  <c r="AD268" i="30" s="1"/>
  <c r="S266" i="30"/>
  <c r="V266" i="30" s="1"/>
  <c r="W266" i="30" s="1"/>
  <c r="Y266" i="30" s="1"/>
  <c r="AA266" i="30"/>
  <c r="AC266" i="30" s="1"/>
  <c r="AD266" i="30" s="1"/>
  <c r="S264" i="30"/>
  <c r="V264" i="30" s="1"/>
  <c r="W264" i="30" s="1"/>
  <c r="Y264" i="30" s="1"/>
  <c r="AA264" i="30"/>
  <c r="AC264" i="30" s="1"/>
  <c r="AD264" i="30" s="1"/>
  <c r="S262" i="30"/>
  <c r="V262" i="30" s="1"/>
  <c r="W262" i="30" s="1"/>
  <c r="Y262" i="30" s="1"/>
  <c r="AA262" i="30"/>
  <c r="AC262" i="30" s="1"/>
  <c r="AD262" i="30" s="1"/>
  <c r="S260" i="30"/>
  <c r="V260" i="30" s="1"/>
  <c r="W260" i="30" s="1"/>
  <c r="Y260" i="30" s="1"/>
  <c r="AA260" i="30"/>
  <c r="AC260" i="30" s="1"/>
  <c r="AD260" i="30" s="1"/>
  <c r="S258" i="30"/>
  <c r="V258" i="30" s="1"/>
  <c r="W258" i="30" s="1"/>
  <c r="Y258" i="30" s="1"/>
  <c r="AA258" i="30"/>
  <c r="AC258" i="30" s="1"/>
  <c r="AD258" i="30" s="1"/>
  <c r="S256" i="30"/>
  <c r="V256" i="30" s="1"/>
  <c r="W256" i="30" s="1"/>
  <c r="Y256" i="30" s="1"/>
  <c r="AA256" i="30"/>
  <c r="AC256" i="30" s="1"/>
  <c r="AD256" i="30" s="1"/>
  <c r="S254" i="30"/>
  <c r="V254" i="30" s="1"/>
  <c r="W254" i="30" s="1"/>
  <c r="Y254" i="30" s="1"/>
  <c r="AA254" i="30"/>
  <c r="AC254" i="30" s="1"/>
  <c r="AD254" i="30" s="1"/>
  <c r="S252" i="30"/>
  <c r="V252" i="30" s="1"/>
  <c r="W252" i="30" s="1"/>
  <c r="Y252" i="30" s="1"/>
  <c r="AA252" i="30"/>
  <c r="AC252" i="30" s="1"/>
  <c r="AD252" i="30" s="1"/>
  <c r="S250" i="30"/>
  <c r="V250" i="30" s="1"/>
  <c r="W250" i="30" s="1"/>
  <c r="Y250" i="30" s="1"/>
  <c r="AA250" i="30"/>
  <c r="AC250" i="30" s="1"/>
  <c r="AD250" i="30" s="1"/>
  <c r="S248" i="30"/>
  <c r="V248" i="30" s="1"/>
  <c r="W248" i="30" s="1"/>
  <c r="Y248" i="30" s="1"/>
  <c r="AA248" i="30"/>
  <c r="AC248" i="30" s="1"/>
  <c r="AD248" i="30" s="1"/>
  <c r="S246" i="30"/>
  <c r="V246" i="30" s="1"/>
  <c r="W246" i="30" s="1"/>
  <c r="Y246" i="30" s="1"/>
  <c r="AA246" i="30"/>
  <c r="AC246" i="30" s="1"/>
  <c r="AD246" i="30" s="1"/>
  <c r="S244" i="30"/>
  <c r="V244" i="30" s="1"/>
  <c r="W244" i="30" s="1"/>
  <c r="Y244" i="30" s="1"/>
  <c r="AA244" i="30"/>
  <c r="AC244" i="30" s="1"/>
  <c r="AD244" i="30" s="1"/>
  <c r="S242" i="30"/>
  <c r="V242" i="30" s="1"/>
  <c r="W242" i="30" s="1"/>
  <c r="Y242" i="30" s="1"/>
  <c r="AA242" i="30"/>
  <c r="AC242" i="30" s="1"/>
  <c r="AD242" i="30" s="1"/>
  <c r="S240" i="30"/>
  <c r="V240" i="30" s="1"/>
  <c r="W240" i="30" s="1"/>
  <c r="Y240" i="30" s="1"/>
  <c r="AA240" i="30"/>
  <c r="AC240" i="30" s="1"/>
  <c r="AD240" i="30" s="1"/>
  <c r="S238" i="30"/>
  <c r="V238" i="30" s="1"/>
  <c r="W238" i="30" s="1"/>
  <c r="Y238" i="30" s="1"/>
  <c r="AA238" i="30"/>
  <c r="AC238" i="30" s="1"/>
  <c r="AD238" i="30" s="1"/>
  <c r="S236" i="30"/>
  <c r="V236" i="30" s="1"/>
  <c r="W236" i="30" s="1"/>
  <c r="Y236" i="30" s="1"/>
  <c r="AA236" i="30"/>
  <c r="AC236" i="30" s="1"/>
  <c r="AD236" i="30" s="1"/>
  <c r="S234" i="30"/>
  <c r="V234" i="30" s="1"/>
  <c r="W234" i="30" s="1"/>
  <c r="Y234" i="30" s="1"/>
  <c r="AA234" i="30"/>
  <c r="AC234" i="30" s="1"/>
  <c r="AD234" i="30" s="1"/>
  <c r="S232" i="30"/>
  <c r="V232" i="30" s="1"/>
  <c r="W232" i="30" s="1"/>
  <c r="Y232" i="30" s="1"/>
  <c r="AA232" i="30"/>
  <c r="AC232" i="30" s="1"/>
  <c r="AD232" i="30" s="1"/>
  <c r="S230" i="30"/>
  <c r="V230" i="30" s="1"/>
  <c r="W230" i="30" s="1"/>
  <c r="Y230" i="30" s="1"/>
  <c r="AA230" i="30"/>
  <c r="AC230" i="30" s="1"/>
  <c r="AD230" i="30" s="1"/>
  <c r="S228" i="30"/>
  <c r="V228" i="30" s="1"/>
  <c r="W228" i="30" s="1"/>
  <c r="Y228" i="30" s="1"/>
  <c r="AA228" i="30"/>
  <c r="AC228" i="30" s="1"/>
  <c r="AD228" i="30" s="1"/>
  <c r="S226" i="30"/>
  <c r="V226" i="30" s="1"/>
  <c r="W226" i="30" s="1"/>
  <c r="Y226" i="30" s="1"/>
  <c r="AA226" i="30"/>
  <c r="AC226" i="30" s="1"/>
  <c r="AD226" i="30" s="1"/>
  <c r="S224" i="30"/>
  <c r="V224" i="30" s="1"/>
  <c r="W224" i="30" s="1"/>
  <c r="Y224" i="30" s="1"/>
  <c r="AA224" i="30"/>
  <c r="AC224" i="30" s="1"/>
  <c r="AD224" i="30" s="1"/>
  <c r="S222" i="30"/>
  <c r="V222" i="30" s="1"/>
  <c r="W222" i="30" s="1"/>
  <c r="Y222" i="30" s="1"/>
  <c r="AA222" i="30"/>
  <c r="AC222" i="30" s="1"/>
  <c r="AD222" i="30" s="1"/>
  <c r="S220" i="30"/>
  <c r="V220" i="30" s="1"/>
  <c r="W220" i="30" s="1"/>
  <c r="Y220" i="30" s="1"/>
  <c r="AA220" i="30"/>
  <c r="AC220" i="30" s="1"/>
  <c r="AD220" i="30" s="1"/>
  <c r="S218" i="30"/>
  <c r="V218" i="30" s="1"/>
  <c r="W218" i="30" s="1"/>
  <c r="Y218" i="30" s="1"/>
  <c r="AA218" i="30"/>
  <c r="AC218" i="30" s="1"/>
  <c r="AD218" i="30" s="1"/>
  <c r="S216" i="30"/>
  <c r="V216" i="30" s="1"/>
  <c r="W216" i="30" s="1"/>
  <c r="Y216" i="30" s="1"/>
  <c r="AA216" i="30"/>
  <c r="AC216" i="30" s="1"/>
  <c r="AD216" i="30" s="1"/>
  <c r="S214" i="30"/>
  <c r="V214" i="30" s="1"/>
  <c r="W214" i="30" s="1"/>
  <c r="Y214" i="30" s="1"/>
  <c r="AA214" i="30"/>
  <c r="AC214" i="30" s="1"/>
  <c r="AD214" i="30" s="1"/>
  <c r="S212" i="30"/>
  <c r="V212" i="30" s="1"/>
  <c r="W212" i="30" s="1"/>
  <c r="Y212" i="30" s="1"/>
  <c r="AA212" i="30"/>
  <c r="AC212" i="30" s="1"/>
  <c r="AD212" i="30" s="1"/>
  <c r="S210" i="30"/>
  <c r="V210" i="30" s="1"/>
  <c r="W210" i="30" s="1"/>
  <c r="Y210" i="30" s="1"/>
  <c r="AA210" i="30"/>
  <c r="AC210" i="30" s="1"/>
  <c r="AD210" i="30" s="1"/>
  <c r="AC231" i="30"/>
  <c r="AD231" i="30" s="1"/>
  <c r="S15" i="30"/>
  <c r="AA15" i="30"/>
  <c r="AC15" i="30" s="1"/>
  <c r="AD15" i="30" s="1"/>
  <c r="T15" i="30"/>
  <c r="S14" i="30"/>
  <c r="AA14" i="30"/>
  <c r="AC14" i="30" s="1"/>
  <c r="AD14" i="30" s="1"/>
  <c r="T14" i="30"/>
  <c r="S13" i="30"/>
  <c r="AA13" i="30"/>
  <c r="AC13" i="30" s="1"/>
  <c r="AD13" i="30" s="1"/>
  <c r="T13" i="30"/>
  <c r="S12" i="30"/>
  <c r="AA12" i="30"/>
  <c r="AC12" i="30" s="1"/>
  <c r="AD12" i="30" s="1"/>
  <c r="T12" i="30"/>
  <c r="AC161" i="30"/>
  <c r="AD161" i="30" s="1"/>
  <c r="AC149" i="30"/>
  <c r="AD149" i="30" s="1"/>
  <c r="AA18" i="30"/>
  <c r="AC18" i="30" s="1"/>
  <c r="AD18" i="30" s="1"/>
  <c r="T18" i="30"/>
  <c r="S18" i="30"/>
  <c r="AA10" i="30"/>
  <c r="AC10" i="30" s="1"/>
  <c r="AD10" i="30" s="1"/>
  <c r="T10" i="30"/>
  <c r="S10" i="30"/>
  <c r="Z576" i="30"/>
  <c r="Q576" i="30"/>
  <c r="S6" i="30"/>
  <c r="T6" i="30"/>
  <c r="AA6" i="30"/>
  <c r="AA571" i="30"/>
  <c r="AC571" i="30" s="1"/>
  <c r="AD571" i="30" s="1"/>
  <c r="S571" i="30"/>
  <c r="V571" i="30" s="1"/>
  <c r="W571" i="30" s="1"/>
  <c r="Y571" i="30" s="1"/>
  <c r="AA563" i="30"/>
  <c r="AC563" i="30" s="1"/>
  <c r="AD563" i="30" s="1"/>
  <c r="S563" i="30"/>
  <c r="V563" i="30" s="1"/>
  <c r="W563" i="30" s="1"/>
  <c r="Y563" i="30" s="1"/>
  <c r="S572" i="30"/>
  <c r="V572" i="30" s="1"/>
  <c r="W572" i="30" s="1"/>
  <c r="Y572" i="30" s="1"/>
  <c r="AA572" i="30"/>
  <c r="AC572" i="30" s="1"/>
  <c r="AD572" i="30" s="1"/>
  <c r="S568" i="30"/>
  <c r="V568" i="30" s="1"/>
  <c r="W568" i="30" s="1"/>
  <c r="Y568" i="30" s="1"/>
  <c r="AA568" i="30"/>
  <c r="AC568" i="30" s="1"/>
  <c r="AD568" i="30" s="1"/>
  <c r="S566" i="30"/>
  <c r="V566" i="30" s="1"/>
  <c r="W566" i="30" s="1"/>
  <c r="Y566" i="30" s="1"/>
  <c r="AA566" i="30"/>
  <c r="AC566" i="30" s="1"/>
  <c r="AD566" i="30" s="1"/>
  <c r="S558" i="30"/>
  <c r="V558" i="30" s="1"/>
  <c r="W558" i="30" s="1"/>
  <c r="Y558" i="30" s="1"/>
  <c r="AA558" i="30"/>
  <c r="AC558" i="30" s="1"/>
  <c r="AD558" i="30" s="1"/>
  <c r="AA561" i="30"/>
  <c r="AC561" i="30" s="1"/>
  <c r="AD561" i="30" s="1"/>
  <c r="S561" i="30"/>
  <c r="V561" i="30" s="1"/>
  <c r="W561" i="30" s="1"/>
  <c r="Y561" i="30" s="1"/>
  <c r="AC551" i="30"/>
  <c r="AD551" i="30" s="1"/>
  <c r="S526" i="30"/>
  <c r="V526" i="30" s="1"/>
  <c r="W526" i="30" s="1"/>
  <c r="Y526" i="30" s="1"/>
  <c r="AA526" i="30"/>
  <c r="AC526" i="30" s="1"/>
  <c r="AD526" i="30" s="1"/>
  <c r="S522" i="30"/>
  <c r="V522" i="30" s="1"/>
  <c r="W522" i="30" s="1"/>
  <c r="Y522" i="30" s="1"/>
  <c r="AA522" i="30"/>
  <c r="AC522" i="30" s="1"/>
  <c r="AD522" i="30" s="1"/>
  <c r="S518" i="30"/>
  <c r="V518" i="30" s="1"/>
  <c r="W518" i="30" s="1"/>
  <c r="Y518" i="30" s="1"/>
  <c r="AA518" i="30"/>
  <c r="AC518" i="30" s="1"/>
  <c r="AD518" i="30" s="1"/>
  <c r="AC527" i="30"/>
  <c r="AD527" i="30" s="1"/>
  <c r="AA573" i="30"/>
  <c r="AC573" i="30" s="1"/>
  <c r="AD573" i="30" s="1"/>
  <c r="S573" i="30"/>
  <c r="V573" i="30" s="1"/>
  <c r="W573" i="30" s="1"/>
  <c r="Y573" i="30" s="1"/>
  <c r="AA569" i="30"/>
  <c r="AC569" i="30" s="1"/>
  <c r="AD569" i="30" s="1"/>
  <c r="S569" i="30"/>
  <c r="V569" i="30" s="1"/>
  <c r="W569" i="30" s="1"/>
  <c r="Y569" i="30" s="1"/>
  <c r="AA565" i="30"/>
  <c r="AC565" i="30" s="1"/>
  <c r="AD565" i="30" s="1"/>
  <c r="S565" i="30"/>
  <c r="V565" i="30" s="1"/>
  <c r="W565" i="30" s="1"/>
  <c r="Y565" i="30" s="1"/>
  <c r="S552" i="30"/>
  <c r="V552" i="30" s="1"/>
  <c r="W552" i="30" s="1"/>
  <c r="Y552" i="30" s="1"/>
  <c r="AA552" i="30"/>
  <c r="AC552" i="30" s="1"/>
  <c r="AD552" i="30" s="1"/>
  <c r="S548" i="30"/>
  <c r="V548" i="30" s="1"/>
  <c r="W548" i="30" s="1"/>
  <c r="Y548" i="30" s="1"/>
  <c r="AA548" i="30"/>
  <c r="AC548" i="30" s="1"/>
  <c r="AD548" i="30" s="1"/>
  <c r="S537" i="30"/>
  <c r="V537" i="30" s="1"/>
  <c r="W537" i="30" s="1"/>
  <c r="Y537" i="30" s="1"/>
  <c r="AA537" i="30"/>
  <c r="AC537" i="30" s="1"/>
  <c r="AD537" i="30" s="1"/>
  <c r="S535" i="30"/>
  <c r="V535" i="30" s="1"/>
  <c r="W535" i="30" s="1"/>
  <c r="Y535" i="30" s="1"/>
  <c r="AA535" i="30"/>
  <c r="AC535" i="30" s="1"/>
  <c r="AD535" i="30" s="1"/>
  <c r="S533" i="30"/>
  <c r="V533" i="30" s="1"/>
  <c r="W533" i="30" s="1"/>
  <c r="Y533" i="30" s="1"/>
  <c r="AA533" i="30"/>
  <c r="AC533" i="30" s="1"/>
  <c r="AD533" i="30" s="1"/>
  <c r="S531" i="30"/>
  <c r="V531" i="30" s="1"/>
  <c r="W531" i="30" s="1"/>
  <c r="Y531" i="30" s="1"/>
  <c r="AA531" i="30"/>
  <c r="AC531" i="30" s="1"/>
  <c r="AD531" i="30" s="1"/>
  <c r="V554" i="30"/>
  <c r="W554" i="30" s="1"/>
  <c r="Y554" i="30" s="1"/>
  <c r="AC539" i="30"/>
  <c r="AD539" i="30" s="1"/>
  <c r="AC506" i="30"/>
  <c r="AD506" i="30" s="1"/>
  <c r="AC496" i="30"/>
  <c r="AD496" i="30" s="1"/>
  <c r="AC492" i="30"/>
  <c r="AD492" i="30" s="1"/>
  <c r="AC463" i="30"/>
  <c r="AD463" i="30" s="1"/>
  <c r="AC403" i="30"/>
  <c r="AD403" i="30" s="1"/>
  <c r="AA400" i="30"/>
  <c r="AC400" i="30" s="1"/>
  <c r="AD400" i="30" s="1"/>
  <c r="S400" i="30"/>
  <c r="V400" i="30" s="1"/>
  <c r="W400" i="30" s="1"/>
  <c r="Y400" i="30" s="1"/>
  <c r="S398" i="30"/>
  <c r="V398" i="30" s="1"/>
  <c r="W398" i="30" s="1"/>
  <c r="Y398" i="30" s="1"/>
  <c r="AA398" i="30"/>
  <c r="AC398" i="30" s="1"/>
  <c r="AD398" i="30" s="1"/>
  <c r="S396" i="30"/>
  <c r="V396" i="30" s="1"/>
  <c r="W396" i="30" s="1"/>
  <c r="Y396" i="30" s="1"/>
  <c r="AA396" i="30"/>
  <c r="AC396" i="30" s="1"/>
  <c r="AD396" i="30" s="1"/>
  <c r="S394" i="30"/>
  <c r="V394" i="30" s="1"/>
  <c r="W394" i="30" s="1"/>
  <c r="Y394" i="30" s="1"/>
  <c r="AA394" i="30"/>
  <c r="AC394" i="30" s="1"/>
  <c r="AD394" i="30" s="1"/>
  <c r="S392" i="30"/>
  <c r="V392" i="30" s="1"/>
  <c r="W392" i="30" s="1"/>
  <c r="Y392" i="30" s="1"/>
  <c r="AA392" i="30"/>
  <c r="AC392" i="30" s="1"/>
  <c r="AD392" i="30" s="1"/>
  <c r="S390" i="30"/>
  <c r="V390" i="30" s="1"/>
  <c r="W390" i="30" s="1"/>
  <c r="Y390" i="30" s="1"/>
  <c r="AA390" i="30"/>
  <c r="AC390" i="30" s="1"/>
  <c r="AD390" i="30" s="1"/>
  <c r="S388" i="30"/>
  <c r="V388" i="30" s="1"/>
  <c r="W388" i="30" s="1"/>
  <c r="Y388" i="30" s="1"/>
  <c r="AA388" i="30"/>
  <c r="AC388" i="30" s="1"/>
  <c r="AD388" i="30" s="1"/>
  <c r="S386" i="30"/>
  <c r="V386" i="30" s="1"/>
  <c r="W386" i="30" s="1"/>
  <c r="Y386" i="30" s="1"/>
  <c r="AA386" i="30"/>
  <c r="AC386" i="30" s="1"/>
  <c r="AD386" i="30" s="1"/>
  <c r="S384" i="30"/>
  <c r="V384" i="30" s="1"/>
  <c r="W384" i="30" s="1"/>
  <c r="Y384" i="30" s="1"/>
  <c r="AA384" i="30"/>
  <c r="AC384" i="30" s="1"/>
  <c r="AD384" i="30" s="1"/>
  <c r="S382" i="30"/>
  <c r="V382" i="30" s="1"/>
  <c r="W382" i="30" s="1"/>
  <c r="Y382" i="30" s="1"/>
  <c r="AA382" i="30"/>
  <c r="AC382" i="30" s="1"/>
  <c r="AD382" i="30" s="1"/>
  <c r="S380" i="30"/>
  <c r="V380" i="30" s="1"/>
  <c r="W380" i="30" s="1"/>
  <c r="Y380" i="30" s="1"/>
  <c r="AA380" i="30"/>
  <c r="AC380" i="30" s="1"/>
  <c r="AD380" i="30" s="1"/>
  <c r="S378" i="30"/>
  <c r="V378" i="30" s="1"/>
  <c r="W378" i="30" s="1"/>
  <c r="Y378" i="30" s="1"/>
  <c r="AA378" i="30"/>
  <c r="AC378" i="30" s="1"/>
  <c r="AD378" i="30" s="1"/>
  <c r="S376" i="30"/>
  <c r="V376" i="30" s="1"/>
  <c r="W376" i="30" s="1"/>
  <c r="Y376" i="30" s="1"/>
  <c r="AA376" i="30"/>
  <c r="AC376" i="30" s="1"/>
  <c r="AD376" i="30" s="1"/>
  <c r="S374" i="30"/>
  <c r="V374" i="30" s="1"/>
  <c r="W374" i="30" s="1"/>
  <c r="Y374" i="30" s="1"/>
  <c r="AA374" i="30"/>
  <c r="AC374" i="30" s="1"/>
  <c r="AD374" i="30" s="1"/>
  <c r="S372" i="30"/>
  <c r="V372" i="30" s="1"/>
  <c r="W372" i="30" s="1"/>
  <c r="Y372" i="30" s="1"/>
  <c r="AA372" i="30"/>
  <c r="AC372" i="30" s="1"/>
  <c r="AD372" i="30" s="1"/>
  <c r="S370" i="30"/>
  <c r="V370" i="30" s="1"/>
  <c r="W370" i="30" s="1"/>
  <c r="Y370" i="30" s="1"/>
  <c r="AA370" i="30"/>
  <c r="AC370" i="30" s="1"/>
  <c r="AD370" i="30" s="1"/>
  <c r="S368" i="30"/>
  <c r="V368" i="30" s="1"/>
  <c r="W368" i="30" s="1"/>
  <c r="Y368" i="30" s="1"/>
  <c r="AA368" i="30"/>
  <c r="AC368" i="30" s="1"/>
  <c r="AD368" i="30" s="1"/>
  <c r="S366" i="30"/>
  <c r="V366" i="30" s="1"/>
  <c r="W366" i="30" s="1"/>
  <c r="Y366" i="30" s="1"/>
  <c r="AA366" i="30"/>
  <c r="AC366" i="30" s="1"/>
  <c r="AD366" i="30" s="1"/>
  <c r="S364" i="30"/>
  <c r="V364" i="30" s="1"/>
  <c r="W364" i="30" s="1"/>
  <c r="Y364" i="30" s="1"/>
  <c r="AA364" i="30"/>
  <c r="AC364" i="30" s="1"/>
  <c r="AD364" i="30" s="1"/>
  <c r="S362" i="30"/>
  <c r="V362" i="30" s="1"/>
  <c r="W362" i="30" s="1"/>
  <c r="Y362" i="30" s="1"/>
  <c r="AA362" i="30"/>
  <c r="AC362" i="30" s="1"/>
  <c r="AD362" i="30" s="1"/>
  <c r="S360" i="30"/>
  <c r="V360" i="30" s="1"/>
  <c r="W360" i="30" s="1"/>
  <c r="Y360" i="30" s="1"/>
  <c r="AA360" i="30"/>
  <c r="AC360" i="30" s="1"/>
  <c r="AD360" i="30" s="1"/>
  <c r="S358" i="30"/>
  <c r="V358" i="30" s="1"/>
  <c r="W358" i="30" s="1"/>
  <c r="Y358" i="30" s="1"/>
  <c r="AA358" i="30"/>
  <c r="AC358" i="30" s="1"/>
  <c r="AD358" i="30" s="1"/>
  <c r="S356" i="30"/>
  <c r="V356" i="30" s="1"/>
  <c r="W356" i="30" s="1"/>
  <c r="Y356" i="30" s="1"/>
  <c r="AA356" i="30"/>
  <c r="AC356" i="30" s="1"/>
  <c r="AD356" i="30" s="1"/>
  <c r="S354" i="30"/>
  <c r="V354" i="30" s="1"/>
  <c r="W354" i="30" s="1"/>
  <c r="Y354" i="30" s="1"/>
  <c r="AA354" i="30"/>
  <c r="AC354" i="30" s="1"/>
  <c r="AD354" i="30" s="1"/>
  <c r="S352" i="30"/>
  <c r="V352" i="30" s="1"/>
  <c r="W352" i="30" s="1"/>
  <c r="Y352" i="30" s="1"/>
  <c r="AA352" i="30"/>
  <c r="AC352" i="30" s="1"/>
  <c r="AD352" i="30" s="1"/>
  <c r="S350" i="30"/>
  <c r="V350" i="30" s="1"/>
  <c r="W350" i="30" s="1"/>
  <c r="Y350" i="30" s="1"/>
  <c r="AA350" i="30"/>
  <c r="AC350" i="30" s="1"/>
  <c r="AD350" i="30" s="1"/>
  <c r="S348" i="30"/>
  <c r="V348" i="30" s="1"/>
  <c r="W348" i="30" s="1"/>
  <c r="Y348" i="30" s="1"/>
  <c r="AA348" i="30"/>
  <c r="AC348" i="30" s="1"/>
  <c r="AD348" i="30" s="1"/>
  <c r="S346" i="30"/>
  <c r="V346" i="30" s="1"/>
  <c r="W346" i="30" s="1"/>
  <c r="Y346" i="30" s="1"/>
  <c r="AA346" i="30"/>
  <c r="AC346" i="30" s="1"/>
  <c r="AD346" i="30" s="1"/>
  <c r="S344" i="30"/>
  <c r="V344" i="30" s="1"/>
  <c r="W344" i="30" s="1"/>
  <c r="Y344" i="30" s="1"/>
  <c r="AA344" i="30"/>
  <c r="AC344" i="30" s="1"/>
  <c r="AD344" i="30" s="1"/>
  <c r="S342" i="30"/>
  <c r="V342" i="30" s="1"/>
  <c r="W342" i="30" s="1"/>
  <c r="Y342" i="30" s="1"/>
  <c r="AA342" i="30"/>
  <c r="AC342" i="30" s="1"/>
  <c r="AD342" i="30" s="1"/>
  <c r="S340" i="30"/>
  <c r="V340" i="30" s="1"/>
  <c r="W340" i="30" s="1"/>
  <c r="Y340" i="30" s="1"/>
  <c r="AA340" i="30"/>
  <c r="AC340" i="30" s="1"/>
  <c r="AD340" i="30" s="1"/>
  <c r="S338" i="30"/>
  <c r="V338" i="30" s="1"/>
  <c r="W338" i="30" s="1"/>
  <c r="Y338" i="30" s="1"/>
  <c r="AA338" i="30"/>
  <c r="AC338" i="30" s="1"/>
  <c r="AD338" i="30" s="1"/>
  <c r="S336" i="30"/>
  <c r="V336" i="30" s="1"/>
  <c r="W336" i="30" s="1"/>
  <c r="Y336" i="30" s="1"/>
  <c r="AA336" i="30"/>
  <c r="AC336" i="30" s="1"/>
  <c r="AD336" i="30" s="1"/>
  <c r="S334" i="30"/>
  <c r="V334" i="30" s="1"/>
  <c r="W334" i="30" s="1"/>
  <c r="Y334" i="30" s="1"/>
  <c r="AA334" i="30"/>
  <c r="AC334" i="30" s="1"/>
  <c r="AD334" i="30" s="1"/>
  <c r="S332" i="30"/>
  <c r="V332" i="30" s="1"/>
  <c r="W332" i="30" s="1"/>
  <c r="Y332" i="30" s="1"/>
  <c r="AA332" i="30"/>
  <c r="AC332" i="30" s="1"/>
  <c r="AD332" i="30" s="1"/>
  <c r="S330" i="30"/>
  <c r="V330" i="30" s="1"/>
  <c r="W330" i="30" s="1"/>
  <c r="Y330" i="30" s="1"/>
  <c r="AA330" i="30"/>
  <c r="AC330" i="30" s="1"/>
  <c r="AD330" i="30" s="1"/>
  <c r="S328" i="30"/>
  <c r="V328" i="30" s="1"/>
  <c r="W328" i="30" s="1"/>
  <c r="Y328" i="30" s="1"/>
  <c r="AA328" i="30"/>
  <c r="AC328" i="30" s="1"/>
  <c r="AD328" i="30" s="1"/>
  <c r="S326" i="30"/>
  <c r="V326" i="30" s="1"/>
  <c r="W326" i="30" s="1"/>
  <c r="Y326" i="30" s="1"/>
  <c r="AA326" i="30"/>
  <c r="AC326" i="30" s="1"/>
  <c r="AD326" i="30" s="1"/>
  <c r="S324" i="30"/>
  <c r="V324" i="30" s="1"/>
  <c r="W324" i="30" s="1"/>
  <c r="Y324" i="30" s="1"/>
  <c r="AA324" i="30"/>
  <c r="AC324" i="30" s="1"/>
  <c r="AD324" i="30" s="1"/>
  <c r="S322" i="30"/>
  <c r="V322" i="30" s="1"/>
  <c r="W322" i="30" s="1"/>
  <c r="Y322" i="30" s="1"/>
  <c r="AA322" i="30"/>
  <c r="AC322" i="30" s="1"/>
  <c r="AD322" i="30" s="1"/>
  <c r="S320" i="30"/>
  <c r="V320" i="30" s="1"/>
  <c r="W320" i="30" s="1"/>
  <c r="Y320" i="30" s="1"/>
  <c r="AA320" i="30"/>
  <c r="AC320" i="30" s="1"/>
  <c r="AD320" i="30" s="1"/>
  <c r="S318" i="30"/>
  <c r="V318" i="30" s="1"/>
  <c r="W318" i="30" s="1"/>
  <c r="Y318" i="30" s="1"/>
  <c r="AA318" i="30"/>
  <c r="AC318" i="30" s="1"/>
  <c r="AD318" i="30" s="1"/>
  <c r="S316" i="30"/>
  <c r="V316" i="30" s="1"/>
  <c r="W316" i="30" s="1"/>
  <c r="Y316" i="30" s="1"/>
  <c r="AA316" i="30"/>
  <c r="AC316" i="30" s="1"/>
  <c r="AD316" i="30" s="1"/>
  <c r="S314" i="30"/>
  <c r="V314" i="30" s="1"/>
  <c r="W314" i="30" s="1"/>
  <c r="Y314" i="30" s="1"/>
  <c r="AA314" i="30"/>
  <c r="AC314" i="30" s="1"/>
  <c r="AD314" i="30" s="1"/>
  <c r="S312" i="30"/>
  <c r="V312" i="30" s="1"/>
  <c r="W312" i="30" s="1"/>
  <c r="Y312" i="30" s="1"/>
  <c r="AA312" i="30"/>
  <c r="AC312" i="30" s="1"/>
  <c r="AD312" i="30" s="1"/>
  <c r="S310" i="30"/>
  <c r="V310" i="30" s="1"/>
  <c r="W310" i="30" s="1"/>
  <c r="Y310" i="30" s="1"/>
  <c r="AA310" i="30"/>
  <c r="AC310" i="30" s="1"/>
  <c r="AD310" i="30" s="1"/>
  <c r="S308" i="30"/>
  <c r="V308" i="30" s="1"/>
  <c r="W308" i="30" s="1"/>
  <c r="Y308" i="30" s="1"/>
  <c r="AA308" i="30"/>
  <c r="AC308" i="30" s="1"/>
  <c r="AD308" i="30" s="1"/>
  <c r="S306" i="30"/>
  <c r="V306" i="30" s="1"/>
  <c r="W306" i="30" s="1"/>
  <c r="Y306" i="30" s="1"/>
  <c r="AA306" i="30"/>
  <c r="AC306" i="30" s="1"/>
  <c r="AD306" i="30" s="1"/>
  <c r="S304" i="30"/>
  <c r="V304" i="30" s="1"/>
  <c r="W304" i="30" s="1"/>
  <c r="Y304" i="30" s="1"/>
  <c r="AA304" i="30"/>
  <c r="AC304" i="30" s="1"/>
  <c r="AD304" i="30" s="1"/>
  <c r="S302" i="30"/>
  <c r="V302" i="30" s="1"/>
  <c r="W302" i="30" s="1"/>
  <c r="Y302" i="30" s="1"/>
  <c r="AA302" i="30"/>
  <c r="AC302" i="30" s="1"/>
  <c r="AD302" i="30" s="1"/>
  <c r="S300" i="30"/>
  <c r="V300" i="30" s="1"/>
  <c r="W300" i="30" s="1"/>
  <c r="Y300" i="30" s="1"/>
  <c r="AA300" i="30"/>
  <c r="AC300" i="30" s="1"/>
  <c r="AD300" i="30" s="1"/>
  <c r="S298" i="30"/>
  <c r="V298" i="30" s="1"/>
  <c r="W298" i="30" s="1"/>
  <c r="Y298" i="30" s="1"/>
  <c r="AA298" i="30"/>
  <c r="AC298" i="30" s="1"/>
  <c r="AD298" i="30" s="1"/>
  <c r="S296" i="30"/>
  <c r="V296" i="30" s="1"/>
  <c r="W296" i="30" s="1"/>
  <c r="Y296" i="30" s="1"/>
  <c r="AA296" i="30"/>
  <c r="AC296" i="30" s="1"/>
  <c r="AD296" i="30" s="1"/>
  <c r="S294" i="30"/>
  <c r="V294" i="30" s="1"/>
  <c r="W294" i="30" s="1"/>
  <c r="Y294" i="30" s="1"/>
  <c r="AA294" i="30"/>
  <c r="AC294" i="30" s="1"/>
  <c r="AD294" i="30" s="1"/>
  <c r="S292" i="30"/>
  <c r="V292" i="30" s="1"/>
  <c r="W292" i="30" s="1"/>
  <c r="Y292" i="30" s="1"/>
  <c r="AA292" i="30"/>
  <c r="AC292" i="30" s="1"/>
  <c r="AD292" i="30" s="1"/>
  <c r="AC399" i="30"/>
  <c r="AD399" i="30" s="1"/>
  <c r="AC391" i="30"/>
  <c r="AD391" i="30" s="1"/>
  <c r="AC387" i="30"/>
  <c r="AD387" i="30" s="1"/>
  <c r="AC383" i="30"/>
  <c r="AD383" i="30" s="1"/>
  <c r="AC375" i="30"/>
  <c r="AD375" i="30" s="1"/>
  <c r="AC371" i="30"/>
  <c r="AD371" i="30" s="1"/>
  <c r="AC367" i="30"/>
  <c r="AD367" i="30" s="1"/>
  <c r="AC359" i="30"/>
  <c r="AD359" i="30" s="1"/>
  <c r="AC355" i="30"/>
  <c r="AD355" i="30" s="1"/>
  <c r="AC351" i="30"/>
  <c r="AD351" i="30" s="1"/>
  <c r="AC343" i="30"/>
  <c r="AD343" i="30" s="1"/>
  <c r="AC339" i="30"/>
  <c r="AD339" i="30" s="1"/>
  <c r="AC335" i="30"/>
  <c r="AD335" i="30" s="1"/>
  <c r="AC327" i="30"/>
  <c r="AD327" i="30" s="1"/>
  <c r="AC323" i="30"/>
  <c r="AD323" i="30" s="1"/>
  <c r="AC319" i="30"/>
  <c r="AD319" i="30" s="1"/>
  <c r="AC295" i="30"/>
  <c r="AD295" i="30" s="1"/>
  <c r="AC206" i="30"/>
  <c r="AD206" i="30" s="1"/>
  <c r="AC200" i="30"/>
  <c r="AD200" i="30" s="1"/>
  <c r="AC198" i="30"/>
  <c r="AD198" i="30" s="1"/>
  <c r="AC190" i="30"/>
  <c r="AD190" i="30" s="1"/>
  <c r="S20" i="30"/>
  <c r="AA20" i="30"/>
  <c r="AC20" i="30" s="1"/>
  <c r="AD20" i="30" s="1"/>
  <c r="T20" i="30"/>
  <c r="T8" i="30"/>
  <c r="AA8" i="30"/>
  <c r="AC8" i="30" s="1"/>
  <c r="AD8" i="30" s="1"/>
  <c r="S8" i="30"/>
  <c r="R576" i="30"/>
  <c r="J576" i="30"/>
  <c r="V515" i="30" l="1"/>
  <c r="W515" i="30" s="1"/>
  <c r="Y515" i="30" s="1"/>
  <c r="V189" i="30"/>
  <c r="W189" i="30" s="1"/>
  <c r="Y189" i="30" s="1"/>
  <c r="V102" i="30"/>
  <c r="W102" i="30" s="1"/>
  <c r="Y102" i="30" s="1"/>
  <c r="V492" i="30"/>
  <c r="W492" i="30" s="1"/>
  <c r="Y492" i="30" s="1"/>
  <c r="V506" i="30"/>
  <c r="W506" i="30" s="1"/>
  <c r="Y506" i="30" s="1"/>
  <c r="V63" i="30"/>
  <c r="W63" i="30" s="1"/>
  <c r="Y63" i="30" s="1"/>
  <c r="V145" i="30"/>
  <c r="W145" i="30" s="1"/>
  <c r="Y145" i="30" s="1"/>
  <c r="V190" i="30"/>
  <c r="W190" i="30" s="1"/>
  <c r="Y190" i="30" s="1"/>
  <c r="V195" i="30"/>
  <c r="W195" i="30" s="1"/>
  <c r="Y195" i="30" s="1"/>
  <c r="V184" i="30"/>
  <c r="W184" i="30" s="1"/>
  <c r="Y184" i="30" s="1"/>
  <c r="V203" i="30"/>
  <c r="W203" i="30" s="1"/>
  <c r="Y203" i="30" s="1"/>
  <c r="V58" i="30"/>
  <c r="W58" i="30" s="1"/>
  <c r="Y58" i="30" s="1"/>
  <c r="V143" i="30"/>
  <c r="W143" i="30" s="1"/>
  <c r="Y143" i="30" s="1"/>
  <c r="V204" i="30"/>
  <c r="W204" i="30" s="1"/>
  <c r="Y204" i="30" s="1"/>
  <c r="V500" i="30"/>
  <c r="W500" i="30" s="1"/>
  <c r="Y500" i="30" s="1"/>
  <c r="V47" i="30"/>
  <c r="W47" i="30" s="1"/>
  <c r="Y47" i="30" s="1"/>
  <c r="V504" i="30"/>
  <c r="W504" i="30" s="1"/>
  <c r="Y504" i="30" s="1"/>
  <c r="V22" i="30"/>
  <c r="W22" i="30" s="1"/>
  <c r="Y22" i="30" s="1"/>
  <c r="V43" i="30"/>
  <c r="W43" i="30" s="1"/>
  <c r="Y43" i="30" s="1"/>
  <c r="V45" i="30"/>
  <c r="W45" i="30" s="1"/>
  <c r="Y45" i="30" s="1"/>
  <c r="V49" i="30"/>
  <c r="W49" i="30" s="1"/>
  <c r="Y49" i="30" s="1"/>
  <c r="V51" i="30"/>
  <c r="W51" i="30" s="1"/>
  <c r="Y51" i="30" s="1"/>
  <c r="V55" i="30"/>
  <c r="W55" i="30" s="1"/>
  <c r="Y55" i="30" s="1"/>
  <c r="V94" i="30"/>
  <c r="W94" i="30" s="1"/>
  <c r="Y94" i="30" s="1"/>
  <c r="V97" i="30"/>
  <c r="W97" i="30" s="1"/>
  <c r="Y97" i="30" s="1"/>
  <c r="V92" i="30"/>
  <c r="W92" i="30" s="1"/>
  <c r="Y92" i="30" s="1"/>
  <c r="V176" i="30"/>
  <c r="W176" i="30" s="1"/>
  <c r="Y176" i="30" s="1"/>
  <c r="V495" i="30"/>
  <c r="W495" i="30" s="1"/>
  <c r="Y495" i="30" s="1"/>
  <c r="V32" i="30"/>
  <c r="W32" i="30" s="1"/>
  <c r="Y32" i="30" s="1"/>
  <c r="V39" i="30"/>
  <c r="W39" i="30" s="1"/>
  <c r="Y39" i="30" s="1"/>
  <c r="V69" i="30"/>
  <c r="W69" i="30" s="1"/>
  <c r="Y69" i="30" s="1"/>
  <c r="V85" i="30"/>
  <c r="W85" i="30" s="1"/>
  <c r="Y85" i="30" s="1"/>
  <c r="V127" i="30"/>
  <c r="W127" i="30" s="1"/>
  <c r="Y127" i="30" s="1"/>
  <c r="V129" i="30"/>
  <c r="W129" i="30" s="1"/>
  <c r="Y129" i="30" s="1"/>
  <c r="V151" i="30"/>
  <c r="W151" i="30" s="1"/>
  <c r="Y151" i="30" s="1"/>
  <c r="V167" i="30"/>
  <c r="W167" i="30" s="1"/>
  <c r="Y167" i="30" s="1"/>
  <c r="V169" i="30"/>
  <c r="W169" i="30" s="1"/>
  <c r="Y169" i="30" s="1"/>
  <c r="V188" i="30"/>
  <c r="W188" i="30" s="1"/>
  <c r="Y188" i="30" s="1"/>
  <c r="V196" i="30"/>
  <c r="W196" i="30" s="1"/>
  <c r="Y196" i="30" s="1"/>
  <c r="V198" i="30"/>
  <c r="W198" i="30" s="1"/>
  <c r="Y198" i="30" s="1"/>
  <c r="V206" i="30"/>
  <c r="W206" i="30" s="1"/>
  <c r="Y206" i="30" s="1"/>
  <c r="V17" i="30"/>
  <c r="W17" i="30" s="1"/>
  <c r="Y17" i="30" s="1"/>
  <c r="V110" i="30"/>
  <c r="W110" i="30" s="1"/>
  <c r="Y110" i="30" s="1"/>
  <c r="V112" i="30"/>
  <c r="W112" i="30" s="1"/>
  <c r="Y112" i="30" s="1"/>
  <c r="V114" i="30"/>
  <c r="W114" i="30" s="1"/>
  <c r="Y114" i="30" s="1"/>
  <c r="V116" i="30"/>
  <c r="W116" i="30" s="1"/>
  <c r="Y116" i="30" s="1"/>
  <c r="V118" i="30"/>
  <c r="W118" i="30" s="1"/>
  <c r="Y118" i="30" s="1"/>
  <c r="V120" i="30"/>
  <c r="W120" i="30" s="1"/>
  <c r="Y120" i="30" s="1"/>
  <c r="V122" i="30"/>
  <c r="W122" i="30" s="1"/>
  <c r="Y122" i="30" s="1"/>
  <c r="V513" i="30"/>
  <c r="W513" i="30" s="1"/>
  <c r="Y513" i="30" s="1"/>
  <c r="V21" i="30"/>
  <c r="W21" i="30" s="1"/>
  <c r="Y21" i="30" s="1"/>
  <c r="V23" i="30"/>
  <c r="W23" i="30" s="1"/>
  <c r="Y23" i="30" s="1"/>
  <c r="V44" i="30"/>
  <c r="W44" i="30" s="1"/>
  <c r="Y44" i="30" s="1"/>
  <c r="V46" i="30"/>
  <c r="W46" i="30" s="1"/>
  <c r="Y46" i="30" s="1"/>
  <c r="V50" i="30"/>
  <c r="W50" i="30" s="1"/>
  <c r="Y50" i="30" s="1"/>
  <c r="V53" i="30"/>
  <c r="W53" i="30" s="1"/>
  <c r="Y53" i="30" s="1"/>
  <c r="V68" i="30"/>
  <c r="W68" i="30" s="1"/>
  <c r="Y68" i="30" s="1"/>
  <c r="V96" i="30"/>
  <c r="W96" i="30" s="1"/>
  <c r="Y96" i="30" s="1"/>
  <c r="V104" i="30"/>
  <c r="W104" i="30" s="1"/>
  <c r="Y104" i="30" s="1"/>
  <c r="V111" i="30"/>
  <c r="W111" i="30" s="1"/>
  <c r="Y111" i="30" s="1"/>
  <c r="V117" i="30"/>
  <c r="W117" i="30" s="1"/>
  <c r="Y117" i="30" s="1"/>
  <c r="V57" i="30"/>
  <c r="W57" i="30" s="1"/>
  <c r="Y57" i="30" s="1"/>
  <c r="V67" i="30"/>
  <c r="W67" i="30" s="1"/>
  <c r="Y67" i="30" s="1"/>
  <c r="V76" i="30"/>
  <c r="W76" i="30" s="1"/>
  <c r="Y76" i="30" s="1"/>
  <c r="V186" i="30"/>
  <c r="W186" i="30" s="1"/>
  <c r="Y186" i="30" s="1"/>
  <c r="V503" i="30"/>
  <c r="W503" i="30" s="1"/>
  <c r="Y503" i="30" s="1"/>
  <c r="V24" i="30"/>
  <c r="W24" i="30" s="1"/>
  <c r="Y24" i="30" s="1"/>
  <c r="V34" i="30"/>
  <c r="W34" i="30" s="1"/>
  <c r="Y34" i="30" s="1"/>
  <c r="V40" i="30"/>
  <c r="W40" i="30" s="1"/>
  <c r="Y40" i="30" s="1"/>
  <c r="V77" i="30"/>
  <c r="W77" i="30" s="1"/>
  <c r="Y77" i="30" s="1"/>
  <c r="V93" i="30"/>
  <c r="W93" i="30" s="1"/>
  <c r="Y93" i="30" s="1"/>
  <c r="V135" i="30"/>
  <c r="W135" i="30" s="1"/>
  <c r="Y135" i="30" s="1"/>
  <c r="V159" i="30"/>
  <c r="W159" i="30" s="1"/>
  <c r="Y159" i="30" s="1"/>
  <c r="V161" i="30"/>
  <c r="W161" i="30" s="1"/>
  <c r="Y161" i="30" s="1"/>
  <c r="V183" i="30"/>
  <c r="W183" i="30" s="1"/>
  <c r="Y183" i="30" s="1"/>
  <c r="V25" i="30"/>
  <c r="W25" i="30" s="1"/>
  <c r="Y25" i="30" s="1"/>
  <c r="V84" i="30"/>
  <c r="W84" i="30" s="1"/>
  <c r="Y84" i="30" s="1"/>
  <c r="V172" i="30"/>
  <c r="W172" i="30" s="1"/>
  <c r="Y172" i="30" s="1"/>
  <c r="V180" i="30"/>
  <c r="W180" i="30" s="1"/>
  <c r="Y180" i="30" s="1"/>
  <c r="V132" i="30"/>
  <c r="W132" i="30" s="1"/>
  <c r="Y132" i="30" s="1"/>
  <c r="V164" i="30"/>
  <c r="W164" i="30" s="1"/>
  <c r="Y164" i="30" s="1"/>
  <c r="V101" i="30"/>
  <c r="W101" i="30" s="1"/>
  <c r="Y101" i="30" s="1"/>
  <c r="V106" i="30"/>
  <c r="W106" i="30" s="1"/>
  <c r="Y106" i="30" s="1"/>
  <c r="V108" i="30"/>
  <c r="W108" i="30" s="1"/>
  <c r="Y108" i="30" s="1"/>
  <c r="V42" i="30"/>
  <c r="W42" i="30" s="1"/>
  <c r="Y42" i="30" s="1"/>
  <c r="V48" i="30"/>
  <c r="W48" i="30" s="1"/>
  <c r="Y48" i="30" s="1"/>
  <c r="V61" i="30"/>
  <c r="W61" i="30" s="1"/>
  <c r="Y61" i="30" s="1"/>
  <c r="V86" i="30"/>
  <c r="W86" i="30" s="1"/>
  <c r="Y86" i="30" s="1"/>
  <c r="V75" i="30"/>
  <c r="W75" i="30" s="1"/>
  <c r="Y75" i="30" s="1"/>
  <c r="V83" i="30"/>
  <c r="W83" i="30" s="1"/>
  <c r="Y83" i="30" s="1"/>
  <c r="V91" i="30"/>
  <c r="W91" i="30" s="1"/>
  <c r="Y91" i="30" s="1"/>
  <c r="V182" i="30"/>
  <c r="W182" i="30" s="1"/>
  <c r="Y182" i="30" s="1"/>
  <c r="V200" i="30"/>
  <c r="W200" i="30" s="1"/>
  <c r="Y200" i="30" s="1"/>
  <c r="V192" i="30"/>
  <c r="W192" i="30" s="1"/>
  <c r="Y192" i="30" s="1"/>
  <c r="V208" i="30"/>
  <c r="W208" i="30" s="1"/>
  <c r="Y208" i="30" s="1"/>
  <c r="V510" i="30"/>
  <c r="W510" i="30" s="1"/>
  <c r="Y510" i="30" s="1"/>
  <c r="V27" i="30"/>
  <c r="W27" i="30" s="1"/>
  <c r="Y27" i="30" s="1"/>
  <c r="V35" i="30"/>
  <c r="W35" i="30" s="1"/>
  <c r="Y35" i="30" s="1"/>
  <c r="V59" i="30"/>
  <c r="W59" i="30" s="1"/>
  <c r="Y59" i="30" s="1"/>
  <c r="V70" i="30"/>
  <c r="W70" i="30" s="1"/>
  <c r="Y70" i="30" s="1"/>
  <c r="V78" i="30"/>
  <c r="W78" i="30" s="1"/>
  <c r="Y78" i="30" s="1"/>
  <c r="V95" i="30"/>
  <c r="W95" i="30" s="1"/>
  <c r="Y95" i="30" s="1"/>
  <c r="V128" i="30"/>
  <c r="W128" i="30" s="1"/>
  <c r="Y128" i="30" s="1"/>
  <c r="V136" i="30"/>
  <c r="W136" i="30" s="1"/>
  <c r="Y136" i="30" s="1"/>
  <c r="V144" i="30"/>
  <c r="W144" i="30" s="1"/>
  <c r="Y144" i="30" s="1"/>
  <c r="V152" i="30"/>
  <c r="W152" i="30" s="1"/>
  <c r="Y152" i="30" s="1"/>
  <c r="V160" i="30"/>
  <c r="W160" i="30" s="1"/>
  <c r="Y160" i="30" s="1"/>
  <c r="V168" i="30"/>
  <c r="W168" i="30" s="1"/>
  <c r="Y168" i="30" s="1"/>
  <c r="V173" i="30"/>
  <c r="W173" i="30" s="1"/>
  <c r="Y173" i="30" s="1"/>
  <c r="V177" i="30"/>
  <c r="W177" i="30" s="1"/>
  <c r="Y177" i="30" s="1"/>
  <c r="V187" i="30"/>
  <c r="W187" i="30" s="1"/>
  <c r="Y187" i="30" s="1"/>
  <c r="V99" i="30"/>
  <c r="W99" i="30" s="1"/>
  <c r="Y99" i="30" s="1"/>
  <c r="V107" i="30"/>
  <c r="W107" i="30" s="1"/>
  <c r="Y107" i="30" s="1"/>
  <c r="V109" i="30"/>
  <c r="W109" i="30" s="1"/>
  <c r="Y109" i="30" s="1"/>
  <c r="V113" i="30"/>
  <c r="W113" i="30" s="1"/>
  <c r="Y113" i="30" s="1"/>
  <c r="V115" i="30"/>
  <c r="W115" i="30" s="1"/>
  <c r="Y115" i="30" s="1"/>
  <c r="V119" i="30"/>
  <c r="W119" i="30" s="1"/>
  <c r="Y119" i="30" s="1"/>
  <c r="V121" i="30"/>
  <c r="W121" i="30" s="1"/>
  <c r="Y121" i="30" s="1"/>
  <c r="V123" i="30"/>
  <c r="W123" i="30" s="1"/>
  <c r="Y123" i="30" s="1"/>
  <c r="V197" i="30"/>
  <c r="W197" i="30" s="1"/>
  <c r="Y197" i="30" s="1"/>
  <c r="V205" i="30"/>
  <c r="W205" i="30" s="1"/>
  <c r="Y205" i="30" s="1"/>
  <c r="V497" i="30"/>
  <c r="W497" i="30" s="1"/>
  <c r="Y497" i="30" s="1"/>
  <c r="V505" i="30"/>
  <c r="W505" i="30" s="1"/>
  <c r="Y505" i="30" s="1"/>
  <c r="V539" i="30"/>
  <c r="W539" i="30" s="1"/>
  <c r="Y539" i="30" s="1"/>
  <c r="V16" i="30"/>
  <c r="W16" i="30" s="1"/>
  <c r="Y16" i="30" s="1"/>
  <c r="V26" i="30"/>
  <c r="W26" i="30" s="1"/>
  <c r="Y26" i="30" s="1"/>
  <c r="V60" i="30"/>
  <c r="W60" i="30" s="1"/>
  <c r="Y60" i="30" s="1"/>
  <c r="V64" i="30"/>
  <c r="W64" i="30" s="1"/>
  <c r="Y64" i="30" s="1"/>
  <c r="V71" i="30"/>
  <c r="W71" i="30" s="1"/>
  <c r="Y71" i="30" s="1"/>
  <c r="V79" i="30"/>
  <c r="W79" i="30" s="1"/>
  <c r="Y79" i="30" s="1"/>
  <c r="V87" i="30"/>
  <c r="W87" i="30" s="1"/>
  <c r="Y87" i="30" s="1"/>
  <c r="V137" i="30"/>
  <c r="W137" i="30" s="1"/>
  <c r="Y137" i="30" s="1"/>
  <c r="V153" i="30"/>
  <c r="W153" i="30" s="1"/>
  <c r="Y153" i="30" s="1"/>
  <c r="V33" i="30"/>
  <c r="W33" i="30" s="1"/>
  <c r="Y33" i="30" s="1"/>
  <c r="V100" i="30"/>
  <c r="W100" i="30" s="1"/>
  <c r="Y100" i="30" s="1"/>
  <c r="V41" i="30"/>
  <c r="W41" i="30" s="1"/>
  <c r="Y41" i="30" s="1"/>
  <c r="V146" i="30"/>
  <c r="W146" i="30" s="1"/>
  <c r="Y146" i="30" s="1"/>
  <c r="V29" i="30"/>
  <c r="W29" i="30" s="1"/>
  <c r="Y29" i="30" s="1"/>
  <c r="V37" i="30"/>
  <c r="W37" i="30" s="1"/>
  <c r="Y37" i="30" s="1"/>
  <c r="V62" i="30"/>
  <c r="W62" i="30" s="1"/>
  <c r="Y62" i="30" s="1"/>
  <c r="V72" i="30"/>
  <c r="W72" i="30" s="1"/>
  <c r="Y72" i="30" s="1"/>
  <c r="V80" i="30"/>
  <c r="W80" i="30" s="1"/>
  <c r="Y80" i="30" s="1"/>
  <c r="V88" i="30"/>
  <c r="W88" i="30" s="1"/>
  <c r="Y88" i="30" s="1"/>
  <c r="V130" i="30"/>
  <c r="W130" i="30" s="1"/>
  <c r="Y130" i="30" s="1"/>
  <c r="V138" i="30"/>
  <c r="W138" i="30" s="1"/>
  <c r="Y138" i="30" s="1"/>
  <c r="V154" i="30"/>
  <c r="W154" i="30" s="1"/>
  <c r="Y154" i="30" s="1"/>
  <c r="V162" i="30"/>
  <c r="W162" i="30" s="1"/>
  <c r="Y162" i="30" s="1"/>
  <c r="V170" i="30"/>
  <c r="W170" i="30" s="1"/>
  <c r="Y170" i="30" s="1"/>
  <c r="V174" i="30"/>
  <c r="W174" i="30" s="1"/>
  <c r="Y174" i="30" s="1"/>
  <c r="V178" i="30"/>
  <c r="W178" i="30" s="1"/>
  <c r="Y178" i="30" s="1"/>
  <c r="V191" i="30"/>
  <c r="W191" i="30" s="1"/>
  <c r="Y191" i="30" s="1"/>
  <c r="V199" i="30"/>
  <c r="W199" i="30" s="1"/>
  <c r="Y199" i="30" s="1"/>
  <c r="V207" i="30"/>
  <c r="W207" i="30" s="1"/>
  <c r="Y207" i="30" s="1"/>
  <c r="V11" i="30"/>
  <c r="W11" i="30" s="1"/>
  <c r="Y11" i="30" s="1"/>
  <c r="V65" i="30"/>
  <c r="W65" i="30" s="1"/>
  <c r="Y65" i="30" s="1"/>
  <c r="V140" i="30"/>
  <c r="W140" i="30" s="1"/>
  <c r="Y140" i="30" s="1"/>
  <c r="V148" i="30"/>
  <c r="W148" i="30" s="1"/>
  <c r="Y148" i="30" s="1"/>
  <c r="V156" i="30"/>
  <c r="W156" i="30" s="1"/>
  <c r="Y156" i="30" s="1"/>
  <c r="V171" i="30"/>
  <c r="W171" i="30" s="1"/>
  <c r="Y171" i="30" s="1"/>
  <c r="V175" i="30"/>
  <c r="W175" i="30" s="1"/>
  <c r="Y175" i="30" s="1"/>
  <c r="V179" i="30"/>
  <c r="W179" i="30" s="1"/>
  <c r="Y179" i="30" s="1"/>
  <c r="V193" i="30"/>
  <c r="W193" i="30" s="1"/>
  <c r="Y193" i="30" s="1"/>
  <c r="V201" i="30"/>
  <c r="W201" i="30" s="1"/>
  <c r="Y201" i="30" s="1"/>
  <c r="V209" i="30"/>
  <c r="W209" i="30" s="1"/>
  <c r="Y209" i="30" s="1"/>
  <c r="V491" i="30"/>
  <c r="W491" i="30" s="1"/>
  <c r="Y491" i="30" s="1"/>
  <c r="V493" i="30"/>
  <c r="W493" i="30" s="1"/>
  <c r="Y493" i="30" s="1"/>
  <c r="V499" i="30"/>
  <c r="W499" i="30" s="1"/>
  <c r="Y499" i="30" s="1"/>
  <c r="V501" i="30"/>
  <c r="W501" i="30" s="1"/>
  <c r="Y501" i="30" s="1"/>
  <c r="V28" i="30"/>
  <c r="W28" i="30" s="1"/>
  <c r="Y28" i="30" s="1"/>
  <c r="V36" i="30"/>
  <c r="W36" i="30" s="1"/>
  <c r="Y36" i="30" s="1"/>
  <c r="V52" i="30"/>
  <c r="W52" i="30" s="1"/>
  <c r="Y52" i="30" s="1"/>
  <c r="V73" i="30"/>
  <c r="W73" i="30" s="1"/>
  <c r="Y73" i="30" s="1"/>
  <c r="V81" i="30"/>
  <c r="W81" i="30" s="1"/>
  <c r="Y81" i="30" s="1"/>
  <c r="V89" i="30"/>
  <c r="W89" i="30" s="1"/>
  <c r="Y89" i="30" s="1"/>
  <c r="V496" i="30"/>
  <c r="W496" i="30" s="1"/>
  <c r="Y496" i="30" s="1"/>
  <c r="V6" i="30"/>
  <c r="W6" i="30" s="1"/>
  <c r="Y6" i="30" s="1"/>
  <c r="V30" i="30"/>
  <c r="W30" i="30" s="1"/>
  <c r="Y30" i="30" s="1"/>
  <c r="V38" i="30"/>
  <c r="W38" i="30" s="1"/>
  <c r="Y38" i="30" s="1"/>
  <c r="V56" i="30"/>
  <c r="W56" i="30" s="1"/>
  <c r="Y56" i="30" s="1"/>
  <c r="V66" i="30"/>
  <c r="W66" i="30" s="1"/>
  <c r="Y66" i="30" s="1"/>
  <c r="V105" i="30"/>
  <c r="W105" i="30" s="1"/>
  <c r="Y105" i="30" s="1"/>
  <c r="V125" i="30"/>
  <c r="W125" i="30" s="1"/>
  <c r="Y125" i="30" s="1"/>
  <c r="V131" i="30"/>
  <c r="W131" i="30" s="1"/>
  <c r="Y131" i="30" s="1"/>
  <c r="V133" i="30"/>
  <c r="W133" i="30" s="1"/>
  <c r="Y133" i="30" s="1"/>
  <c r="V139" i="30"/>
  <c r="W139" i="30" s="1"/>
  <c r="Y139" i="30" s="1"/>
  <c r="V141" i="30"/>
  <c r="W141" i="30" s="1"/>
  <c r="Y141" i="30" s="1"/>
  <c r="V147" i="30"/>
  <c r="W147" i="30" s="1"/>
  <c r="Y147" i="30" s="1"/>
  <c r="V149" i="30"/>
  <c r="W149" i="30" s="1"/>
  <c r="Y149" i="30" s="1"/>
  <c r="V155" i="30"/>
  <c r="W155" i="30" s="1"/>
  <c r="Y155" i="30" s="1"/>
  <c r="V157" i="30"/>
  <c r="W157" i="30" s="1"/>
  <c r="Y157" i="30" s="1"/>
  <c r="V163" i="30"/>
  <c r="W163" i="30" s="1"/>
  <c r="Y163" i="30" s="1"/>
  <c r="V165" i="30"/>
  <c r="W165" i="30" s="1"/>
  <c r="Y165" i="30" s="1"/>
  <c r="V181" i="30"/>
  <c r="W181" i="30" s="1"/>
  <c r="Y181" i="30" s="1"/>
  <c r="V185" i="30"/>
  <c r="W185" i="30" s="1"/>
  <c r="Y185" i="30" s="1"/>
  <c r="V194" i="30"/>
  <c r="W194" i="30" s="1"/>
  <c r="Y194" i="30" s="1"/>
  <c r="V202" i="30"/>
  <c r="W202" i="30" s="1"/>
  <c r="Y202" i="30" s="1"/>
  <c r="V507" i="30"/>
  <c r="W507" i="30" s="1"/>
  <c r="Y507" i="30" s="1"/>
  <c r="V511" i="30"/>
  <c r="W511" i="30" s="1"/>
  <c r="Y511" i="30" s="1"/>
  <c r="V12" i="30"/>
  <c r="W12" i="30" s="1"/>
  <c r="Y12" i="30" s="1"/>
  <c r="V126" i="30"/>
  <c r="W126" i="30" s="1"/>
  <c r="Y126" i="30" s="1"/>
  <c r="V134" i="30"/>
  <c r="W134" i="30" s="1"/>
  <c r="Y134" i="30" s="1"/>
  <c r="V142" i="30"/>
  <c r="W142" i="30" s="1"/>
  <c r="Y142" i="30" s="1"/>
  <c r="V150" i="30"/>
  <c r="W150" i="30" s="1"/>
  <c r="Y150" i="30" s="1"/>
  <c r="V158" i="30"/>
  <c r="W158" i="30" s="1"/>
  <c r="Y158" i="30" s="1"/>
  <c r="V166" i="30"/>
  <c r="W166" i="30" s="1"/>
  <c r="Y166" i="30" s="1"/>
  <c r="V14" i="30"/>
  <c r="W14" i="30" s="1"/>
  <c r="Y14" i="30" s="1"/>
  <c r="V508" i="30"/>
  <c r="W508" i="30" s="1"/>
  <c r="Y508" i="30" s="1"/>
  <c r="V31" i="30"/>
  <c r="W31" i="30" s="1"/>
  <c r="Y31" i="30" s="1"/>
  <c r="V54" i="30"/>
  <c r="W54" i="30" s="1"/>
  <c r="Y54" i="30" s="1"/>
  <c r="V74" i="30"/>
  <c r="W74" i="30" s="1"/>
  <c r="Y74" i="30" s="1"/>
  <c r="V82" i="30"/>
  <c r="W82" i="30" s="1"/>
  <c r="Y82" i="30" s="1"/>
  <c r="V90" i="30"/>
  <c r="W90" i="30" s="1"/>
  <c r="Y90" i="30" s="1"/>
  <c r="V103" i="30"/>
  <c r="W103" i="30" s="1"/>
  <c r="Y103" i="30" s="1"/>
  <c r="V13" i="30"/>
  <c r="W13" i="30" s="1"/>
  <c r="Y13" i="30" s="1"/>
  <c r="V516" i="30"/>
  <c r="W516" i="30" s="1"/>
  <c r="Y516" i="30" s="1"/>
  <c r="V8" i="30"/>
  <c r="W8" i="30" s="1"/>
  <c r="Y8" i="30" s="1"/>
  <c r="V498" i="30"/>
  <c r="W498" i="30" s="1"/>
  <c r="Y498" i="30" s="1"/>
  <c r="V18" i="30"/>
  <c r="W18" i="30" s="1"/>
  <c r="Y18" i="30" s="1"/>
  <c r="V502" i="30"/>
  <c r="W502" i="30" s="1"/>
  <c r="Y502" i="30" s="1"/>
  <c r="V124" i="30"/>
  <c r="W124" i="30" s="1"/>
  <c r="X124" i="30" s="1"/>
  <c r="X576" i="30" s="1"/>
  <c r="V19" i="30"/>
  <c r="W19" i="30" s="1"/>
  <c r="Y19" i="30" s="1"/>
  <c r="V20" i="30"/>
  <c r="W20" i="30" s="1"/>
  <c r="Y20" i="30" s="1"/>
  <c r="V15" i="30"/>
  <c r="W15" i="30" s="1"/>
  <c r="Y15" i="30" s="1"/>
  <c r="V7" i="30"/>
  <c r="W7" i="30" s="1"/>
  <c r="Y7" i="30" s="1"/>
  <c r="V10" i="30"/>
  <c r="W10" i="30" s="1"/>
  <c r="Y10" i="30" s="1"/>
  <c r="V494" i="30"/>
  <c r="W494" i="30" s="1"/>
  <c r="Y494" i="30" s="1"/>
  <c r="V512" i="30"/>
  <c r="W512" i="30" s="1"/>
  <c r="Y512" i="30" s="1"/>
  <c r="V514" i="30"/>
  <c r="W514" i="30" s="1"/>
  <c r="Y514" i="30" s="1"/>
  <c r="V9" i="30"/>
  <c r="W9" i="30" s="1"/>
  <c r="Y9" i="30" s="1"/>
  <c r="AA576" i="30"/>
  <c r="S576" i="30"/>
  <c r="AC6" i="30"/>
  <c r="T576" i="30"/>
  <c r="W576" i="30" l="1"/>
  <c r="V576" i="30"/>
  <c r="Y124" i="30"/>
  <c r="Y576" i="30" s="1"/>
  <c r="AC576" i="30"/>
  <c r="AD6" i="30"/>
  <c r="AD576" i="30" s="1"/>
  <c r="C1048464" i="17" l="1"/>
  <c r="T477" i="17"/>
  <c r="O477" i="17"/>
  <c r="M477" i="17"/>
  <c r="K477" i="17"/>
  <c r="AA475" i="17"/>
  <c r="N475" i="17"/>
  <c r="L475" i="17"/>
  <c r="I475" i="17"/>
  <c r="H475" i="17"/>
  <c r="AA474" i="17"/>
  <c r="N474" i="17"/>
  <c r="L474" i="17"/>
  <c r="I474" i="17"/>
  <c r="H474" i="17"/>
  <c r="AA473" i="17"/>
  <c r="N473" i="17"/>
  <c r="L473" i="17"/>
  <c r="I473" i="17"/>
  <c r="H473" i="17"/>
  <c r="AA472" i="17"/>
  <c r="N472" i="17"/>
  <c r="L472" i="17"/>
  <c r="I472" i="17"/>
  <c r="H472" i="17"/>
  <c r="AA471" i="17"/>
  <c r="N471" i="17"/>
  <c r="L471" i="17"/>
  <c r="I471" i="17"/>
  <c r="H471" i="17"/>
  <c r="AA470" i="17"/>
  <c r="N470" i="17"/>
  <c r="L470" i="17"/>
  <c r="I470" i="17"/>
  <c r="H470" i="17"/>
  <c r="AA469" i="17"/>
  <c r="N469" i="17"/>
  <c r="L469" i="17"/>
  <c r="I469" i="17"/>
  <c r="H469" i="17"/>
  <c r="AA468" i="17"/>
  <c r="N468" i="17"/>
  <c r="L468" i="17"/>
  <c r="I468" i="17"/>
  <c r="H468" i="17"/>
  <c r="AA467" i="17"/>
  <c r="N467" i="17"/>
  <c r="L467" i="17"/>
  <c r="I467" i="17"/>
  <c r="H467" i="17"/>
  <c r="AA466" i="17"/>
  <c r="N466" i="17"/>
  <c r="L466" i="17"/>
  <c r="I466" i="17"/>
  <c r="H466" i="17"/>
  <c r="AA465" i="17"/>
  <c r="N465" i="17"/>
  <c r="L465" i="17"/>
  <c r="I465" i="17"/>
  <c r="H465" i="17"/>
  <c r="AA464" i="17"/>
  <c r="N464" i="17"/>
  <c r="L464" i="17"/>
  <c r="I464" i="17"/>
  <c r="H464" i="17"/>
  <c r="AA463" i="17"/>
  <c r="N463" i="17"/>
  <c r="L463" i="17"/>
  <c r="I463" i="17"/>
  <c r="H463" i="17"/>
  <c r="AA462" i="17"/>
  <c r="G462" i="17"/>
  <c r="L462" i="17" s="1"/>
  <c r="AA461" i="17"/>
  <c r="G461" i="17"/>
  <c r="L461" i="17" s="1"/>
  <c r="AA460" i="17"/>
  <c r="N460" i="17"/>
  <c r="L460" i="17"/>
  <c r="I460" i="17"/>
  <c r="H460" i="17"/>
  <c r="AA459" i="17"/>
  <c r="W459" i="17"/>
  <c r="W477" i="17" s="1"/>
  <c r="N459" i="17"/>
  <c r="L459" i="17"/>
  <c r="I459" i="17"/>
  <c r="H459" i="17"/>
  <c r="AA458" i="17"/>
  <c r="N458" i="17"/>
  <c r="L458" i="17"/>
  <c r="I458" i="17"/>
  <c r="H458" i="17"/>
  <c r="AA457" i="17"/>
  <c r="N457" i="17"/>
  <c r="L457" i="17"/>
  <c r="I457" i="17"/>
  <c r="H457" i="17"/>
  <c r="AA456" i="17"/>
  <c r="N456" i="17"/>
  <c r="L456" i="17"/>
  <c r="I456" i="17"/>
  <c r="H456" i="17"/>
  <c r="AA455" i="17"/>
  <c r="N455" i="17"/>
  <c r="L455" i="17"/>
  <c r="I455" i="17"/>
  <c r="H455" i="17"/>
  <c r="AA454" i="17"/>
  <c r="N454" i="17"/>
  <c r="L454" i="17"/>
  <c r="I454" i="17"/>
  <c r="H454" i="17"/>
  <c r="AA453" i="17"/>
  <c r="N453" i="17"/>
  <c r="L453" i="17"/>
  <c r="I453" i="17"/>
  <c r="H453" i="17"/>
  <c r="AA452" i="17"/>
  <c r="N452" i="17"/>
  <c r="L452" i="17"/>
  <c r="I452" i="17"/>
  <c r="H452" i="17"/>
  <c r="AA451" i="17"/>
  <c r="N451" i="17"/>
  <c r="L451" i="17"/>
  <c r="I451" i="17"/>
  <c r="H451" i="17"/>
  <c r="AA450" i="17"/>
  <c r="N450" i="17"/>
  <c r="L450" i="17"/>
  <c r="I450" i="17"/>
  <c r="H450" i="17"/>
  <c r="AA449" i="17"/>
  <c r="N449" i="17"/>
  <c r="L449" i="17"/>
  <c r="I449" i="17"/>
  <c r="H449" i="17"/>
  <c r="AA448" i="17"/>
  <c r="N448" i="17"/>
  <c r="L448" i="17"/>
  <c r="I448" i="17"/>
  <c r="H448" i="17"/>
  <c r="AA447" i="17"/>
  <c r="G447" i="17"/>
  <c r="N447" i="17" s="1"/>
  <c r="AA446" i="17"/>
  <c r="N446" i="17"/>
  <c r="L446" i="17"/>
  <c r="I446" i="17"/>
  <c r="H446" i="17"/>
  <c r="AA445" i="17"/>
  <c r="N445" i="17"/>
  <c r="L445" i="17"/>
  <c r="I445" i="17"/>
  <c r="H445" i="17"/>
  <c r="AA444" i="17"/>
  <c r="N444" i="17"/>
  <c r="L444" i="17"/>
  <c r="I444" i="17"/>
  <c r="H444" i="17"/>
  <c r="AA443" i="17"/>
  <c r="N443" i="17"/>
  <c r="L443" i="17"/>
  <c r="I443" i="17"/>
  <c r="H443" i="17"/>
  <c r="AA442" i="17"/>
  <c r="N442" i="17"/>
  <c r="L442" i="17"/>
  <c r="I442" i="17"/>
  <c r="H442" i="17"/>
  <c r="AA441" i="17"/>
  <c r="N441" i="17"/>
  <c r="L441" i="17"/>
  <c r="I441" i="17"/>
  <c r="H441" i="17"/>
  <c r="AA440" i="17"/>
  <c r="N440" i="17"/>
  <c r="L440" i="17"/>
  <c r="I440" i="17"/>
  <c r="H440" i="17"/>
  <c r="AA439" i="17"/>
  <c r="N439" i="17"/>
  <c r="L439" i="17"/>
  <c r="I439" i="17"/>
  <c r="H439" i="17"/>
  <c r="AA438" i="17"/>
  <c r="N438" i="17"/>
  <c r="L438" i="17"/>
  <c r="I438" i="17"/>
  <c r="H438" i="17"/>
  <c r="AA437" i="17"/>
  <c r="N437" i="17"/>
  <c r="L437" i="17"/>
  <c r="I437" i="17"/>
  <c r="H437" i="17"/>
  <c r="AA436" i="17"/>
  <c r="N436" i="17"/>
  <c r="L436" i="17"/>
  <c r="I436" i="17"/>
  <c r="H436" i="17"/>
  <c r="AA435" i="17"/>
  <c r="N435" i="17"/>
  <c r="L435" i="17"/>
  <c r="I435" i="17"/>
  <c r="H435" i="17"/>
  <c r="AA434" i="17"/>
  <c r="N434" i="17"/>
  <c r="L434" i="17"/>
  <c r="I434" i="17"/>
  <c r="H434" i="17"/>
  <c r="AA433" i="17"/>
  <c r="N433" i="17"/>
  <c r="L433" i="17"/>
  <c r="I433" i="17"/>
  <c r="H433" i="17"/>
  <c r="AA432" i="17"/>
  <c r="N432" i="17"/>
  <c r="L432" i="17"/>
  <c r="I432" i="17"/>
  <c r="H432" i="17"/>
  <c r="AA431" i="17"/>
  <c r="N431" i="17"/>
  <c r="L431" i="17"/>
  <c r="I431" i="17"/>
  <c r="H431" i="17"/>
  <c r="AA430" i="17"/>
  <c r="N430" i="17"/>
  <c r="L430" i="17"/>
  <c r="I430" i="17"/>
  <c r="H430" i="17"/>
  <c r="AA429" i="17"/>
  <c r="N429" i="17"/>
  <c r="L429" i="17"/>
  <c r="I429" i="17"/>
  <c r="H429" i="17"/>
  <c r="AA428" i="17"/>
  <c r="N428" i="17"/>
  <c r="L428" i="17"/>
  <c r="I428" i="17"/>
  <c r="H428" i="17"/>
  <c r="AA427" i="17"/>
  <c r="N427" i="17"/>
  <c r="L427" i="17"/>
  <c r="I427" i="17"/>
  <c r="H427" i="17"/>
  <c r="AA426" i="17"/>
  <c r="N426" i="17"/>
  <c r="L426" i="17"/>
  <c r="I426" i="17"/>
  <c r="H426" i="17"/>
  <c r="AA425" i="17"/>
  <c r="N425" i="17"/>
  <c r="L425" i="17"/>
  <c r="I425" i="17"/>
  <c r="H425" i="17"/>
  <c r="AA424" i="17"/>
  <c r="N424" i="17"/>
  <c r="L424" i="17"/>
  <c r="I424" i="17"/>
  <c r="H424" i="17"/>
  <c r="AA423" i="17"/>
  <c r="N423" i="17"/>
  <c r="L423" i="17"/>
  <c r="I423" i="17"/>
  <c r="H423" i="17"/>
  <c r="AA422" i="17"/>
  <c r="N422" i="17"/>
  <c r="L422" i="17"/>
  <c r="I422" i="17"/>
  <c r="H422" i="17"/>
  <c r="AA421" i="17"/>
  <c r="N421" i="17"/>
  <c r="L421" i="17"/>
  <c r="I421" i="17"/>
  <c r="H421" i="17"/>
  <c r="AA420" i="17"/>
  <c r="N420" i="17"/>
  <c r="L420" i="17"/>
  <c r="I420" i="17"/>
  <c r="H420" i="17"/>
  <c r="AA419" i="17"/>
  <c r="N419" i="17"/>
  <c r="L419" i="17"/>
  <c r="I419" i="17"/>
  <c r="H419" i="17"/>
  <c r="AA418" i="17"/>
  <c r="N418" i="17"/>
  <c r="L418" i="17"/>
  <c r="I418" i="17"/>
  <c r="H418" i="17"/>
  <c r="AA417" i="17"/>
  <c r="N417" i="17"/>
  <c r="L417" i="17"/>
  <c r="I417" i="17"/>
  <c r="H417" i="17"/>
  <c r="AA416" i="17"/>
  <c r="N416" i="17"/>
  <c r="L416" i="17"/>
  <c r="I416" i="17"/>
  <c r="H416" i="17"/>
  <c r="AA415" i="17"/>
  <c r="N415" i="17"/>
  <c r="L415" i="17"/>
  <c r="I415" i="17"/>
  <c r="H415" i="17"/>
  <c r="AA414" i="17"/>
  <c r="N414" i="17"/>
  <c r="L414" i="17"/>
  <c r="I414" i="17"/>
  <c r="H414" i="17"/>
  <c r="AA413" i="17"/>
  <c r="N413" i="17"/>
  <c r="L413" i="17"/>
  <c r="I413" i="17"/>
  <c r="H413" i="17"/>
  <c r="AA412" i="17"/>
  <c r="N412" i="17"/>
  <c r="L412" i="17"/>
  <c r="I412" i="17"/>
  <c r="H412" i="17"/>
  <c r="AA411" i="17"/>
  <c r="N411" i="17"/>
  <c r="L411" i="17"/>
  <c r="I411" i="17"/>
  <c r="H411" i="17"/>
  <c r="AA410" i="17"/>
  <c r="N410" i="17"/>
  <c r="L410" i="17"/>
  <c r="I410" i="17"/>
  <c r="H410" i="17"/>
  <c r="AA409" i="17"/>
  <c r="N409" i="17"/>
  <c r="L409" i="17"/>
  <c r="I409" i="17"/>
  <c r="H409" i="17"/>
  <c r="AA408" i="17"/>
  <c r="N408" i="17"/>
  <c r="L408" i="17"/>
  <c r="I408" i="17"/>
  <c r="H408" i="17"/>
  <c r="AA407" i="17"/>
  <c r="N407" i="17"/>
  <c r="L407" i="17"/>
  <c r="I407" i="17"/>
  <c r="H407" i="17"/>
  <c r="AA406" i="17"/>
  <c r="N406" i="17"/>
  <c r="L406" i="17"/>
  <c r="I406" i="17"/>
  <c r="H406" i="17"/>
  <c r="AA405" i="17"/>
  <c r="N405" i="17"/>
  <c r="L405" i="17"/>
  <c r="I405" i="17"/>
  <c r="H405" i="17"/>
  <c r="AA404" i="17"/>
  <c r="N404" i="17"/>
  <c r="L404" i="17"/>
  <c r="I404" i="17"/>
  <c r="H404" i="17"/>
  <c r="AA403" i="17"/>
  <c r="N403" i="17"/>
  <c r="L403" i="17"/>
  <c r="I403" i="17"/>
  <c r="H403" i="17"/>
  <c r="AA402" i="17"/>
  <c r="N402" i="17"/>
  <c r="L402" i="17"/>
  <c r="I402" i="17"/>
  <c r="H402" i="17"/>
  <c r="AA401" i="17"/>
  <c r="N401" i="17"/>
  <c r="L401" i="17"/>
  <c r="I401" i="17"/>
  <c r="H401" i="17"/>
  <c r="AA400" i="17"/>
  <c r="N400" i="17"/>
  <c r="L400" i="17"/>
  <c r="I400" i="17"/>
  <c r="H400" i="17"/>
  <c r="AA399" i="17"/>
  <c r="N399" i="17"/>
  <c r="L399" i="17"/>
  <c r="I399" i="17"/>
  <c r="H399" i="17"/>
  <c r="AA398" i="17"/>
  <c r="N398" i="17"/>
  <c r="L398" i="17"/>
  <c r="I398" i="17"/>
  <c r="H398" i="17"/>
  <c r="AA397" i="17"/>
  <c r="N397" i="17"/>
  <c r="L397" i="17"/>
  <c r="I397" i="17"/>
  <c r="H397" i="17"/>
  <c r="AA396" i="17"/>
  <c r="N396" i="17"/>
  <c r="L396" i="17"/>
  <c r="I396" i="17"/>
  <c r="H396" i="17"/>
  <c r="AA395" i="17"/>
  <c r="N395" i="17"/>
  <c r="L395" i="17"/>
  <c r="I395" i="17"/>
  <c r="H395" i="17"/>
  <c r="AA394" i="17"/>
  <c r="N394" i="17"/>
  <c r="L394" i="17"/>
  <c r="I394" i="17"/>
  <c r="H394" i="17"/>
  <c r="AA393" i="17"/>
  <c r="N393" i="17"/>
  <c r="L393" i="17"/>
  <c r="I393" i="17"/>
  <c r="H393" i="17"/>
  <c r="AA392" i="17"/>
  <c r="N392" i="17"/>
  <c r="L392" i="17"/>
  <c r="I392" i="17"/>
  <c r="H392" i="17"/>
  <c r="AA391" i="17"/>
  <c r="N391" i="17"/>
  <c r="L391" i="17"/>
  <c r="I391" i="17"/>
  <c r="H391" i="17"/>
  <c r="AA390" i="17"/>
  <c r="N390" i="17"/>
  <c r="L390" i="17"/>
  <c r="I390" i="17"/>
  <c r="H390" i="17"/>
  <c r="AA389" i="17"/>
  <c r="N389" i="17"/>
  <c r="L389" i="17"/>
  <c r="I389" i="17"/>
  <c r="H389" i="17"/>
  <c r="AA388" i="17"/>
  <c r="N388" i="17"/>
  <c r="L388" i="17"/>
  <c r="I388" i="17"/>
  <c r="H388" i="17"/>
  <c r="AA387" i="17"/>
  <c r="N387" i="17"/>
  <c r="L387" i="17"/>
  <c r="I387" i="17"/>
  <c r="H387" i="17"/>
  <c r="AA386" i="17"/>
  <c r="N386" i="17"/>
  <c r="L386" i="17"/>
  <c r="I386" i="17"/>
  <c r="H386" i="17"/>
  <c r="AA385" i="17"/>
  <c r="N385" i="17"/>
  <c r="L385" i="17"/>
  <c r="I385" i="17"/>
  <c r="H385" i="17"/>
  <c r="AA384" i="17"/>
  <c r="N384" i="17"/>
  <c r="L384" i="17"/>
  <c r="I384" i="17"/>
  <c r="H384" i="17"/>
  <c r="AA383" i="17"/>
  <c r="N383" i="17"/>
  <c r="L383" i="17"/>
  <c r="I383" i="17"/>
  <c r="H383" i="17"/>
  <c r="AA382" i="17"/>
  <c r="N382" i="17"/>
  <c r="L382" i="17"/>
  <c r="I382" i="17"/>
  <c r="H382" i="17"/>
  <c r="AA381" i="17"/>
  <c r="N381" i="17"/>
  <c r="L381" i="17"/>
  <c r="I381" i="17"/>
  <c r="H381" i="17"/>
  <c r="AA380" i="17"/>
  <c r="N380" i="17"/>
  <c r="L380" i="17"/>
  <c r="I380" i="17"/>
  <c r="H380" i="17"/>
  <c r="AA379" i="17"/>
  <c r="N379" i="17"/>
  <c r="L379" i="17"/>
  <c r="I379" i="17"/>
  <c r="H379" i="17"/>
  <c r="AA378" i="17"/>
  <c r="N378" i="17"/>
  <c r="L378" i="17"/>
  <c r="I378" i="17"/>
  <c r="H378" i="17"/>
  <c r="AA377" i="17"/>
  <c r="N377" i="17"/>
  <c r="L377" i="17"/>
  <c r="I377" i="17"/>
  <c r="H377" i="17"/>
  <c r="AA376" i="17"/>
  <c r="N376" i="17"/>
  <c r="L376" i="17"/>
  <c r="I376" i="17"/>
  <c r="H376" i="17"/>
  <c r="AA375" i="17"/>
  <c r="N375" i="17"/>
  <c r="L375" i="17"/>
  <c r="I375" i="17"/>
  <c r="H375" i="17"/>
  <c r="AA374" i="17"/>
  <c r="N374" i="17"/>
  <c r="L374" i="17"/>
  <c r="I374" i="17"/>
  <c r="H374" i="17"/>
  <c r="AA373" i="17"/>
  <c r="N373" i="17"/>
  <c r="L373" i="17"/>
  <c r="I373" i="17"/>
  <c r="H373" i="17"/>
  <c r="AA372" i="17"/>
  <c r="N372" i="17"/>
  <c r="L372" i="17"/>
  <c r="I372" i="17"/>
  <c r="H372" i="17"/>
  <c r="AA371" i="17"/>
  <c r="N371" i="17"/>
  <c r="L371" i="17"/>
  <c r="I371" i="17"/>
  <c r="H371" i="17"/>
  <c r="AA370" i="17"/>
  <c r="N370" i="17"/>
  <c r="L370" i="17"/>
  <c r="I370" i="17"/>
  <c r="H370" i="17"/>
  <c r="AA369" i="17"/>
  <c r="N369" i="17"/>
  <c r="L369" i="17"/>
  <c r="I369" i="17"/>
  <c r="H369" i="17"/>
  <c r="AA368" i="17"/>
  <c r="N368" i="17"/>
  <c r="L368" i="17"/>
  <c r="I368" i="17"/>
  <c r="H368" i="17"/>
  <c r="AA367" i="17"/>
  <c r="N367" i="17"/>
  <c r="L367" i="17"/>
  <c r="I367" i="17"/>
  <c r="H367" i="17"/>
  <c r="AA366" i="17"/>
  <c r="N366" i="17"/>
  <c r="L366" i="17"/>
  <c r="I366" i="17"/>
  <c r="H366" i="17"/>
  <c r="AA365" i="17"/>
  <c r="N365" i="17"/>
  <c r="L365" i="17"/>
  <c r="I365" i="17"/>
  <c r="H365" i="17"/>
  <c r="AA364" i="17"/>
  <c r="N364" i="17"/>
  <c r="L364" i="17"/>
  <c r="I364" i="17"/>
  <c r="H364" i="17"/>
  <c r="AA363" i="17"/>
  <c r="N363" i="17"/>
  <c r="L363" i="17"/>
  <c r="I363" i="17"/>
  <c r="H363" i="17"/>
  <c r="AA362" i="17"/>
  <c r="N362" i="17"/>
  <c r="L362" i="17"/>
  <c r="I362" i="17"/>
  <c r="H362" i="17"/>
  <c r="AA361" i="17"/>
  <c r="N361" i="17"/>
  <c r="L361" i="17"/>
  <c r="I361" i="17"/>
  <c r="H361" i="17"/>
  <c r="AA360" i="17"/>
  <c r="N360" i="17"/>
  <c r="L360" i="17"/>
  <c r="I360" i="17"/>
  <c r="H360" i="17"/>
  <c r="AA359" i="17"/>
  <c r="N359" i="17"/>
  <c r="L359" i="17"/>
  <c r="I359" i="17"/>
  <c r="H359" i="17"/>
  <c r="AA358" i="17"/>
  <c r="N358" i="17"/>
  <c r="L358" i="17"/>
  <c r="I358" i="17"/>
  <c r="H358" i="17"/>
  <c r="AA357" i="17"/>
  <c r="N357" i="17"/>
  <c r="L357" i="17"/>
  <c r="I357" i="17"/>
  <c r="H357" i="17"/>
  <c r="AA356" i="17"/>
  <c r="N356" i="17"/>
  <c r="L356" i="17"/>
  <c r="I356" i="17"/>
  <c r="H356" i="17"/>
  <c r="AA355" i="17"/>
  <c r="N355" i="17"/>
  <c r="L355" i="17"/>
  <c r="I355" i="17"/>
  <c r="H355" i="17"/>
  <c r="AA354" i="17"/>
  <c r="N354" i="17"/>
  <c r="L354" i="17"/>
  <c r="I354" i="17"/>
  <c r="H354" i="17"/>
  <c r="AA353" i="17"/>
  <c r="N353" i="17"/>
  <c r="L353" i="17"/>
  <c r="I353" i="17"/>
  <c r="H353" i="17"/>
  <c r="AA352" i="17"/>
  <c r="N352" i="17"/>
  <c r="L352" i="17"/>
  <c r="I352" i="17"/>
  <c r="H352" i="17"/>
  <c r="AA351" i="17"/>
  <c r="N351" i="17"/>
  <c r="L351" i="17"/>
  <c r="I351" i="17"/>
  <c r="H351" i="17"/>
  <c r="AA350" i="17"/>
  <c r="N350" i="17"/>
  <c r="L350" i="17"/>
  <c r="I350" i="17"/>
  <c r="H350" i="17"/>
  <c r="AA349" i="17"/>
  <c r="N349" i="17"/>
  <c r="L349" i="17"/>
  <c r="I349" i="17"/>
  <c r="H349" i="17"/>
  <c r="AA348" i="17"/>
  <c r="N348" i="17"/>
  <c r="L348" i="17"/>
  <c r="I348" i="17"/>
  <c r="H348" i="17"/>
  <c r="AA347" i="17"/>
  <c r="N347" i="17"/>
  <c r="L347" i="17"/>
  <c r="I347" i="17"/>
  <c r="H347" i="17"/>
  <c r="AA346" i="17"/>
  <c r="N346" i="17"/>
  <c r="L346" i="17"/>
  <c r="I346" i="17"/>
  <c r="H346" i="17"/>
  <c r="AA345" i="17"/>
  <c r="N345" i="17"/>
  <c r="L345" i="17"/>
  <c r="I345" i="17"/>
  <c r="H345" i="17"/>
  <c r="AA344" i="17"/>
  <c r="N344" i="17"/>
  <c r="L344" i="17"/>
  <c r="I344" i="17"/>
  <c r="H344" i="17"/>
  <c r="AA343" i="17"/>
  <c r="N343" i="17"/>
  <c r="L343" i="17"/>
  <c r="I343" i="17"/>
  <c r="H343" i="17"/>
  <c r="AA342" i="17"/>
  <c r="N342" i="17"/>
  <c r="L342" i="17"/>
  <c r="I342" i="17"/>
  <c r="H342" i="17"/>
  <c r="AA341" i="17"/>
  <c r="N341" i="17"/>
  <c r="L341" i="17"/>
  <c r="I341" i="17"/>
  <c r="H341" i="17"/>
  <c r="AA340" i="17"/>
  <c r="N340" i="17"/>
  <c r="L340" i="17"/>
  <c r="I340" i="17"/>
  <c r="H340" i="17"/>
  <c r="AA339" i="17"/>
  <c r="N339" i="17"/>
  <c r="L339" i="17"/>
  <c r="I339" i="17"/>
  <c r="H339" i="17"/>
  <c r="AA338" i="17"/>
  <c r="N338" i="17"/>
  <c r="L338" i="17"/>
  <c r="I338" i="17"/>
  <c r="H338" i="17"/>
  <c r="AA337" i="17"/>
  <c r="N337" i="17"/>
  <c r="L337" i="17"/>
  <c r="I337" i="17"/>
  <c r="H337" i="17"/>
  <c r="AA336" i="17"/>
  <c r="N336" i="17"/>
  <c r="L336" i="17"/>
  <c r="I336" i="17"/>
  <c r="H336" i="17"/>
  <c r="AA335" i="17"/>
  <c r="N335" i="17"/>
  <c r="L335" i="17"/>
  <c r="I335" i="17"/>
  <c r="H335" i="17"/>
  <c r="AA334" i="17"/>
  <c r="N334" i="17"/>
  <c r="L334" i="17"/>
  <c r="I334" i="17"/>
  <c r="H334" i="17"/>
  <c r="AA333" i="17"/>
  <c r="N333" i="17"/>
  <c r="L333" i="17"/>
  <c r="I333" i="17"/>
  <c r="H333" i="17"/>
  <c r="AA332" i="17"/>
  <c r="N332" i="17"/>
  <c r="L332" i="17"/>
  <c r="I332" i="17"/>
  <c r="H332" i="17"/>
  <c r="AA331" i="17"/>
  <c r="N331" i="17"/>
  <c r="L331" i="17"/>
  <c r="I331" i="17"/>
  <c r="H331" i="17"/>
  <c r="AA330" i="17"/>
  <c r="N330" i="17"/>
  <c r="L330" i="17"/>
  <c r="I330" i="17"/>
  <c r="H330" i="17"/>
  <c r="AA329" i="17"/>
  <c r="N329" i="17"/>
  <c r="L329" i="17"/>
  <c r="I329" i="17"/>
  <c r="H329" i="17"/>
  <c r="AA328" i="17"/>
  <c r="N328" i="17"/>
  <c r="L328" i="17"/>
  <c r="I328" i="17"/>
  <c r="H328" i="17"/>
  <c r="AA327" i="17"/>
  <c r="N327" i="17"/>
  <c r="L327" i="17"/>
  <c r="I327" i="17"/>
  <c r="H327" i="17"/>
  <c r="AA326" i="17"/>
  <c r="N326" i="17"/>
  <c r="L326" i="17"/>
  <c r="I326" i="17"/>
  <c r="H326" i="17"/>
  <c r="AA325" i="17"/>
  <c r="N325" i="17"/>
  <c r="L325" i="17"/>
  <c r="I325" i="17"/>
  <c r="H325" i="17"/>
  <c r="AA324" i="17"/>
  <c r="N324" i="17"/>
  <c r="L324" i="17"/>
  <c r="I324" i="17"/>
  <c r="H324" i="17"/>
  <c r="AA323" i="17"/>
  <c r="N323" i="17"/>
  <c r="L323" i="17"/>
  <c r="I323" i="17"/>
  <c r="H323" i="17"/>
  <c r="AA322" i="17"/>
  <c r="N322" i="17"/>
  <c r="L322" i="17"/>
  <c r="I322" i="17"/>
  <c r="H322" i="17"/>
  <c r="AA321" i="17"/>
  <c r="N321" i="17"/>
  <c r="L321" i="17"/>
  <c r="I321" i="17"/>
  <c r="H321" i="17"/>
  <c r="AA320" i="17"/>
  <c r="N320" i="17"/>
  <c r="L320" i="17"/>
  <c r="I320" i="17"/>
  <c r="H320" i="17"/>
  <c r="AA319" i="17"/>
  <c r="N319" i="17"/>
  <c r="L319" i="17"/>
  <c r="I319" i="17"/>
  <c r="H319" i="17"/>
  <c r="AA318" i="17"/>
  <c r="N318" i="17"/>
  <c r="L318" i="17"/>
  <c r="I318" i="17"/>
  <c r="H318" i="17"/>
  <c r="AA317" i="17"/>
  <c r="N317" i="17"/>
  <c r="L317" i="17"/>
  <c r="I317" i="17"/>
  <c r="H317" i="17"/>
  <c r="AA316" i="17"/>
  <c r="N316" i="17"/>
  <c r="L316" i="17"/>
  <c r="I316" i="17"/>
  <c r="H316" i="17"/>
  <c r="AA315" i="17"/>
  <c r="N315" i="17"/>
  <c r="L315" i="17"/>
  <c r="I315" i="17"/>
  <c r="H315" i="17"/>
  <c r="AA314" i="17"/>
  <c r="N314" i="17"/>
  <c r="L314" i="17"/>
  <c r="I314" i="17"/>
  <c r="H314" i="17"/>
  <c r="AA313" i="17"/>
  <c r="N313" i="17"/>
  <c r="L313" i="17"/>
  <c r="I313" i="17"/>
  <c r="H313" i="17"/>
  <c r="AA312" i="17"/>
  <c r="N312" i="17"/>
  <c r="L312" i="17"/>
  <c r="I312" i="17"/>
  <c r="H312" i="17"/>
  <c r="AA311" i="17"/>
  <c r="N311" i="17"/>
  <c r="L311" i="17"/>
  <c r="I311" i="17"/>
  <c r="H311" i="17"/>
  <c r="AA310" i="17"/>
  <c r="N310" i="17"/>
  <c r="L310" i="17"/>
  <c r="I310" i="17"/>
  <c r="H310" i="17"/>
  <c r="AA309" i="17"/>
  <c r="N309" i="17"/>
  <c r="L309" i="17"/>
  <c r="I309" i="17"/>
  <c r="H309" i="17"/>
  <c r="AA308" i="17"/>
  <c r="N308" i="17"/>
  <c r="L308" i="17"/>
  <c r="I308" i="17"/>
  <c r="H308" i="17"/>
  <c r="AA307" i="17"/>
  <c r="N307" i="17"/>
  <c r="L307" i="17"/>
  <c r="I307" i="17"/>
  <c r="H307" i="17"/>
  <c r="AA306" i="17"/>
  <c r="N306" i="17"/>
  <c r="L306" i="17"/>
  <c r="I306" i="17"/>
  <c r="H306" i="17"/>
  <c r="AA305" i="17"/>
  <c r="N305" i="17"/>
  <c r="L305" i="17"/>
  <c r="I305" i="17"/>
  <c r="H305" i="17"/>
  <c r="AA304" i="17"/>
  <c r="N304" i="17"/>
  <c r="L304" i="17"/>
  <c r="I304" i="17"/>
  <c r="H304" i="17"/>
  <c r="AA303" i="17"/>
  <c r="N303" i="17"/>
  <c r="L303" i="17"/>
  <c r="I303" i="17"/>
  <c r="H303" i="17"/>
  <c r="AA302" i="17"/>
  <c r="N302" i="17"/>
  <c r="L302" i="17"/>
  <c r="I302" i="17"/>
  <c r="H302" i="17"/>
  <c r="AA301" i="17"/>
  <c r="N301" i="17"/>
  <c r="L301" i="17"/>
  <c r="I301" i="17"/>
  <c r="H301" i="17"/>
  <c r="AA300" i="17"/>
  <c r="N300" i="17"/>
  <c r="L300" i="17"/>
  <c r="I300" i="17"/>
  <c r="H300" i="17"/>
  <c r="AA299" i="17"/>
  <c r="N299" i="17"/>
  <c r="L299" i="17"/>
  <c r="I299" i="17"/>
  <c r="H299" i="17"/>
  <c r="AA298" i="17"/>
  <c r="N298" i="17"/>
  <c r="L298" i="17"/>
  <c r="I298" i="17"/>
  <c r="H298" i="17"/>
  <c r="AA297" i="17"/>
  <c r="N297" i="17"/>
  <c r="L297" i="17"/>
  <c r="I297" i="17"/>
  <c r="H297" i="17"/>
  <c r="AA296" i="17"/>
  <c r="N296" i="17"/>
  <c r="L296" i="17"/>
  <c r="I296" i="17"/>
  <c r="H296" i="17"/>
  <c r="AA295" i="17"/>
  <c r="N295" i="17"/>
  <c r="L295" i="17"/>
  <c r="I295" i="17"/>
  <c r="H295" i="17"/>
  <c r="AA294" i="17"/>
  <c r="N294" i="17"/>
  <c r="L294" i="17"/>
  <c r="I294" i="17"/>
  <c r="H294" i="17"/>
  <c r="AA293" i="17"/>
  <c r="N293" i="17"/>
  <c r="L293" i="17"/>
  <c r="I293" i="17"/>
  <c r="H293" i="17"/>
  <c r="AA292" i="17"/>
  <c r="N292" i="17"/>
  <c r="L292" i="17"/>
  <c r="I292" i="17"/>
  <c r="H292" i="17"/>
  <c r="AA291" i="17"/>
  <c r="N291" i="17"/>
  <c r="L291" i="17"/>
  <c r="I291" i="17"/>
  <c r="H291" i="17"/>
  <c r="AA290" i="17"/>
  <c r="N290" i="17"/>
  <c r="L290" i="17"/>
  <c r="I290" i="17"/>
  <c r="H290" i="17"/>
  <c r="AA289" i="17"/>
  <c r="N289" i="17"/>
  <c r="L289" i="17"/>
  <c r="I289" i="17"/>
  <c r="H289" i="17"/>
  <c r="AA288" i="17"/>
  <c r="N288" i="17"/>
  <c r="L288" i="17"/>
  <c r="I288" i="17"/>
  <c r="H288" i="17"/>
  <c r="AA287" i="17"/>
  <c r="N287" i="17"/>
  <c r="L287" i="17"/>
  <c r="I287" i="17"/>
  <c r="H287" i="17"/>
  <c r="AA286" i="17"/>
  <c r="N286" i="17"/>
  <c r="L286" i="17"/>
  <c r="I286" i="17"/>
  <c r="H286" i="17"/>
  <c r="AA285" i="17"/>
  <c r="N285" i="17"/>
  <c r="L285" i="17"/>
  <c r="I285" i="17"/>
  <c r="H285" i="17"/>
  <c r="AA284" i="17"/>
  <c r="N284" i="17"/>
  <c r="L284" i="17"/>
  <c r="I284" i="17"/>
  <c r="H284" i="17"/>
  <c r="AA283" i="17"/>
  <c r="N283" i="17"/>
  <c r="L283" i="17"/>
  <c r="I283" i="17"/>
  <c r="H283" i="17"/>
  <c r="AA282" i="17"/>
  <c r="N282" i="17"/>
  <c r="L282" i="17"/>
  <c r="I282" i="17"/>
  <c r="H282" i="17"/>
  <c r="AA281" i="17"/>
  <c r="N281" i="17"/>
  <c r="L281" i="17"/>
  <c r="I281" i="17"/>
  <c r="H281" i="17"/>
  <c r="AA280" i="17"/>
  <c r="N280" i="17"/>
  <c r="L280" i="17"/>
  <c r="I280" i="17"/>
  <c r="H280" i="17"/>
  <c r="AA279" i="17"/>
  <c r="N279" i="17"/>
  <c r="L279" i="17"/>
  <c r="I279" i="17"/>
  <c r="H279" i="17"/>
  <c r="AA278" i="17"/>
  <c r="N278" i="17"/>
  <c r="L278" i="17"/>
  <c r="I278" i="17"/>
  <c r="H278" i="17"/>
  <c r="AA277" i="17"/>
  <c r="N277" i="17"/>
  <c r="L277" i="17"/>
  <c r="I277" i="17"/>
  <c r="H277" i="17"/>
  <c r="AA276" i="17"/>
  <c r="N276" i="17"/>
  <c r="L276" i="17"/>
  <c r="I276" i="17"/>
  <c r="H276" i="17"/>
  <c r="AA275" i="17"/>
  <c r="N275" i="17"/>
  <c r="L275" i="17"/>
  <c r="I275" i="17"/>
  <c r="H275" i="17"/>
  <c r="AA274" i="17"/>
  <c r="N274" i="17"/>
  <c r="L274" i="17"/>
  <c r="I274" i="17"/>
  <c r="H274" i="17"/>
  <c r="AA273" i="17"/>
  <c r="N273" i="17"/>
  <c r="L273" i="17"/>
  <c r="I273" i="17"/>
  <c r="H273" i="17"/>
  <c r="AA272" i="17"/>
  <c r="N272" i="17"/>
  <c r="L272" i="17"/>
  <c r="I272" i="17"/>
  <c r="H272" i="17"/>
  <c r="AA271" i="17"/>
  <c r="N271" i="17"/>
  <c r="L271" i="17"/>
  <c r="I271" i="17"/>
  <c r="H271" i="17"/>
  <c r="AA270" i="17"/>
  <c r="N270" i="17"/>
  <c r="L270" i="17"/>
  <c r="I270" i="17"/>
  <c r="H270" i="17"/>
  <c r="AA269" i="17"/>
  <c r="N269" i="17"/>
  <c r="L269" i="17"/>
  <c r="I269" i="17"/>
  <c r="H269" i="17"/>
  <c r="AA268" i="17"/>
  <c r="N268" i="17"/>
  <c r="L268" i="17"/>
  <c r="I268" i="17"/>
  <c r="H268" i="17"/>
  <c r="AA267" i="17"/>
  <c r="N267" i="17"/>
  <c r="L267" i="17"/>
  <c r="I267" i="17"/>
  <c r="H267" i="17"/>
  <c r="AA266" i="17"/>
  <c r="N266" i="17"/>
  <c r="L266" i="17"/>
  <c r="I266" i="17"/>
  <c r="H266" i="17"/>
  <c r="AA265" i="17"/>
  <c r="N265" i="17"/>
  <c r="L265" i="17"/>
  <c r="I265" i="17"/>
  <c r="H265" i="17"/>
  <c r="AA264" i="17"/>
  <c r="N264" i="17"/>
  <c r="L264" i="17"/>
  <c r="I264" i="17"/>
  <c r="H264" i="17"/>
  <c r="AA263" i="17"/>
  <c r="N263" i="17"/>
  <c r="L263" i="17"/>
  <c r="I263" i="17"/>
  <c r="H263" i="17"/>
  <c r="AA262" i="17"/>
  <c r="N262" i="17"/>
  <c r="L262" i="17"/>
  <c r="I262" i="17"/>
  <c r="H262" i="17"/>
  <c r="AA261" i="17"/>
  <c r="N261" i="17"/>
  <c r="L261" i="17"/>
  <c r="I261" i="17"/>
  <c r="H261" i="17"/>
  <c r="AA260" i="17"/>
  <c r="N260" i="17"/>
  <c r="L260" i="17"/>
  <c r="I260" i="17"/>
  <c r="H260" i="17"/>
  <c r="AA259" i="17"/>
  <c r="N259" i="17"/>
  <c r="L259" i="17"/>
  <c r="I259" i="17"/>
  <c r="H259" i="17"/>
  <c r="AA258" i="17"/>
  <c r="N258" i="17"/>
  <c r="L258" i="17"/>
  <c r="I258" i="17"/>
  <c r="H258" i="17"/>
  <c r="AA257" i="17"/>
  <c r="N257" i="17"/>
  <c r="L257" i="17"/>
  <c r="I257" i="17"/>
  <c r="H257" i="17"/>
  <c r="AA256" i="17"/>
  <c r="N256" i="17"/>
  <c r="L256" i="17"/>
  <c r="I256" i="17"/>
  <c r="H256" i="17"/>
  <c r="AA255" i="17"/>
  <c r="N255" i="17"/>
  <c r="L255" i="17"/>
  <c r="I255" i="17"/>
  <c r="H255" i="17"/>
  <c r="AA254" i="17"/>
  <c r="N254" i="17"/>
  <c r="L254" i="17"/>
  <c r="I254" i="17"/>
  <c r="H254" i="17"/>
  <c r="AA253" i="17"/>
  <c r="N253" i="17"/>
  <c r="L253" i="17"/>
  <c r="I253" i="17"/>
  <c r="H253" i="17"/>
  <c r="AA252" i="17"/>
  <c r="N252" i="17"/>
  <c r="L252" i="17"/>
  <c r="I252" i="17"/>
  <c r="H252" i="17"/>
  <c r="AA251" i="17"/>
  <c r="N251" i="17"/>
  <c r="L251" i="17"/>
  <c r="I251" i="17"/>
  <c r="H251" i="17"/>
  <c r="AA250" i="17"/>
  <c r="N250" i="17"/>
  <c r="L250" i="17"/>
  <c r="I250" i="17"/>
  <c r="H250" i="17"/>
  <c r="AA249" i="17"/>
  <c r="N249" i="17"/>
  <c r="L249" i="17"/>
  <c r="I249" i="17"/>
  <c r="H249" i="17"/>
  <c r="AA248" i="17"/>
  <c r="N248" i="17"/>
  <c r="L248" i="17"/>
  <c r="I248" i="17"/>
  <c r="H248" i="17"/>
  <c r="AA247" i="17"/>
  <c r="N247" i="17"/>
  <c r="L247" i="17"/>
  <c r="I247" i="17"/>
  <c r="H247" i="17"/>
  <c r="AA246" i="17"/>
  <c r="N246" i="17"/>
  <c r="L246" i="17"/>
  <c r="I246" i="17"/>
  <c r="H246" i="17"/>
  <c r="AA245" i="17"/>
  <c r="N245" i="17"/>
  <c r="L245" i="17"/>
  <c r="I245" i="17"/>
  <c r="H245" i="17"/>
  <c r="AA244" i="17"/>
  <c r="N244" i="17"/>
  <c r="L244" i="17"/>
  <c r="I244" i="17"/>
  <c r="H244" i="17"/>
  <c r="AA243" i="17"/>
  <c r="N243" i="17"/>
  <c r="L243" i="17"/>
  <c r="I243" i="17"/>
  <c r="H243" i="17"/>
  <c r="AA242" i="17"/>
  <c r="N242" i="17"/>
  <c r="L242" i="17"/>
  <c r="I242" i="17"/>
  <c r="H242" i="17"/>
  <c r="AA241" i="17"/>
  <c r="N241" i="17"/>
  <c r="L241" i="17"/>
  <c r="I241" i="17"/>
  <c r="H241" i="17"/>
  <c r="AA240" i="17"/>
  <c r="N240" i="17"/>
  <c r="L240" i="17"/>
  <c r="I240" i="17"/>
  <c r="H240" i="17"/>
  <c r="AA239" i="17"/>
  <c r="N239" i="17"/>
  <c r="L239" i="17"/>
  <c r="I239" i="17"/>
  <c r="H239" i="17"/>
  <c r="AA238" i="17"/>
  <c r="N238" i="17"/>
  <c r="L238" i="17"/>
  <c r="I238" i="17"/>
  <c r="H238" i="17"/>
  <c r="AA237" i="17"/>
  <c r="N237" i="17"/>
  <c r="L237" i="17"/>
  <c r="I237" i="17"/>
  <c r="H237" i="17"/>
  <c r="AA236" i="17"/>
  <c r="N236" i="17"/>
  <c r="L236" i="17"/>
  <c r="I236" i="17"/>
  <c r="H236" i="17"/>
  <c r="AA235" i="17"/>
  <c r="N235" i="17"/>
  <c r="L235" i="17"/>
  <c r="I235" i="17"/>
  <c r="H235" i="17"/>
  <c r="AA234" i="17"/>
  <c r="N234" i="17"/>
  <c r="L234" i="17"/>
  <c r="I234" i="17"/>
  <c r="H234" i="17"/>
  <c r="AA233" i="17"/>
  <c r="N233" i="17"/>
  <c r="L233" i="17"/>
  <c r="I233" i="17"/>
  <c r="H233" i="17"/>
  <c r="AA232" i="17"/>
  <c r="N232" i="17"/>
  <c r="L232" i="17"/>
  <c r="I232" i="17"/>
  <c r="H232" i="17"/>
  <c r="AA231" i="17"/>
  <c r="N231" i="17"/>
  <c r="L231" i="17"/>
  <c r="I231" i="17"/>
  <c r="H231" i="17"/>
  <c r="AA230" i="17"/>
  <c r="N230" i="17"/>
  <c r="L230" i="17"/>
  <c r="I230" i="17"/>
  <c r="H230" i="17"/>
  <c r="AA229" i="17"/>
  <c r="N229" i="17"/>
  <c r="L229" i="17"/>
  <c r="I229" i="17"/>
  <c r="H229" i="17"/>
  <c r="AA228" i="17"/>
  <c r="N228" i="17"/>
  <c r="L228" i="17"/>
  <c r="I228" i="17"/>
  <c r="H228" i="17"/>
  <c r="AA227" i="17"/>
  <c r="N227" i="17"/>
  <c r="L227" i="17"/>
  <c r="I227" i="17"/>
  <c r="H227" i="17"/>
  <c r="AA226" i="17"/>
  <c r="N226" i="17"/>
  <c r="L226" i="17"/>
  <c r="I226" i="17"/>
  <c r="H226" i="17"/>
  <c r="AA225" i="17"/>
  <c r="N225" i="17"/>
  <c r="L225" i="17"/>
  <c r="I225" i="17"/>
  <c r="H225" i="17"/>
  <c r="AA224" i="17"/>
  <c r="N224" i="17"/>
  <c r="L224" i="17"/>
  <c r="I224" i="17"/>
  <c r="H224" i="17"/>
  <c r="AA223" i="17"/>
  <c r="N223" i="17"/>
  <c r="L223" i="17"/>
  <c r="I223" i="17"/>
  <c r="H223" i="17"/>
  <c r="AA222" i="17"/>
  <c r="N222" i="17"/>
  <c r="L222" i="17"/>
  <c r="I222" i="17"/>
  <c r="H222" i="17"/>
  <c r="AA221" i="17"/>
  <c r="N221" i="17"/>
  <c r="L221" i="17"/>
  <c r="I221" i="17"/>
  <c r="H221" i="17"/>
  <c r="AA220" i="17"/>
  <c r="N220" i="17"/>
  <c r="L220" i="17"/>
  <c r="I220" i="17"/>
  <c r="H220" i="17"/>
  <c r="AA219" i="17"/>
  <c r="N219" i="17"/>
  <c r="L219" i="17"/>
  <c r="I219" i="17"/>
  <c r="H219" i="17"/>
  <c r="AA218" i="17"/>
  <c r="N218" i="17"/>
  <c r="L218" i="17"/>
  <c r="I218" i="17"/>
  <c r="H218" i="17"/>
  <c r="AA217" i="17"/>
  <c r="N217" i="17"/>
  <c r="L217" i="17"/>
  <c r="I217" i="17"/>
  <c r="H217" i="17"/>
  <c r="AA216" i="17"/>
  <c r="N216" i="17"/>
  <c r="L216" i="17"/>
  <c r="I216" i="17"/>
  <c r="H216" i="17"/>
  <c r="AA215" i="17"/>
  <c r="N215" i="17"/>
  <c r="L215" i="17"/>
  <c r="I215" i="17"/>
  <c r="H215" i="17"/>
  <c r="AA214" i="17"/>
  <c r="N214" i="17"/>
  <c r="L214" i="17"/>
  <c r="I214" i="17"/>
  <c r="H214" i="17"/>
  <c r="AA213" i="17"/>
  <c r="N213" i="17"/>
  <c r="L213" i="17"/>
  <c r="I213" i="17"/>
  <c r="H213" i="17"/>
  <c r="AA212" i="17"/>
  <c r="N212" i="17"/>
  <c r="L212" i="17"/>
  <c r="I212" i="17"/>
  <c r="H212" i="17"/>
  <c r="AA211" i="17"/>
  <c r="N211" i="17"/>
  <c r="L211" i="17"/>
  <c r="I211" i="17"/>
  <c r="H211" i="17"/>
  <c r="AA210" i="17"/>
  <c r="N210" i="17"/>
  <c r="L210" i="17"/>
  <c r="I210" i="17"/>
  <c r="H210" i="17"/>
  <c r="AA209" i="17"/>
  <c r="N209" i="17"/>
  <c r="L209" i="17"/>
  <c r="I209" i="17"/>
  <c r="H209" i="17"/>
  <c r="AA208" i="17"/>
  <c r="N208" i="17"/>
  <c r="L208" i="17"/>
  <c r="I208" i="17"/>
  <c r="H208" i="17"/>
  <c r="AA207" i="17"/>
  <c r="N207" i="17"/>
  <c r="L207" i="17"/>
  <c r="I207" i="17"/>
  <c r="H207" i="17"/>
  <c r="AA206" i="17"/>
  <c r="N206" i="17"/>
  <c r="L206" i="17"/>
  <c r="I206" i="17"/>
  <c r="H206" i="17"/>
  <c r="AA205" i="17"/>
  <c r="N205" i="17"/>
  <c r="L205" i="17"/>
  <c r="I205" i="17"/>
  <c r="H205" i="17"/>
  <c r="AA204" i="17"/>
  <c r="N204" i="17"/>
  <c r="L204" i="17"/>
  <c r="I204" i="17"/>
  <c r="H204" i="17"/>
  <c r="AA203" i="17"/>
  <c r="N203" i="17"/>
  <c r="L203" i="17"/>
  <c r="I203" i="17"/>
  <c r="H203" i="17"/>
  <c r="AA202" i="17"/>
  <c r="N202" i="17"/>
  <c r="L202" i="17"/>
  <c r="I202" i="17"/>
  <c r="H202" i="17"/>
  <c r="AA201" i="17"/>
  <c r="N201" i="17"/>
  <c r="L201" i="17"/>
  <c r="I201" i="17"/>
  <c r="H201" i="17"/>
  <c r="AA200" i="17"/>
  <c r="N200" i="17"/>
  <c r="L200" i="17"/>
  <c r="I200" i="17"/>
  <c r="H200" i="17"/>
  <c r="AA199" i="17"/>
  <c r="G199" i="17"/>
  <c r="AA198" i="17"/>
  <c r="N198" i="17"/>
  <c r="L198" i="17"/>
  <c r="I198" i="17"/>
  <c r="H198" i="17"/>
  <c r="AA197" i="17"/>
  <c r="N197" i="17"/>
  <c r="L197" i="17"/>
  <c r="I197" i="17"/>
  <c r="H197" i="17"/>
  <c r="AA196" i="17"/>
  <c r="N196" i="17"/>
  <c r="L196" i="17"/>
  <c r="I196" i="17"/>
  <c r="H196" i="17"/>
  <c r="AA195" i="17"/>
  <c r="N195" i="17"/>
  <c r="L195" i="17"/>
  <c r="I195" i="17"/>
  <c r="H195" i="17"/>
  <c r="AA194" i="17"/>
  <c r="N194" i="17"/>
  <c r="L194" i="17"/>
  <c r="I194" i="17"/>
  <c r="H194" i="17"/>
  <c r="AA193" i="17"/>
  <c r="N193" i="17"/>
  <c r="L193" i="17"/>
  <c r="I193" i="17"/>
  <c r="H193" i="17"/>
  <c r="AA192" i="17"/>
  <c r="N192" i="17"/>
  <c r="L192" i="17"/>
  <c r="I192" i="17"/>
  <c r="H192" i="17"/>
  <c r="AA191" i="17"/>
  <c r="N191" i="17"/>
  <c r="L191" i="17"/>
  <c r="I191" i="17"/>
  <c r="H191" i="17"/>
  <c r="AA190" i="17"/>
  <c r="N190" i="17"/>
  <c r="L190" i="17"/>
  <c r="I190" i="17"/>
  <c r="H190" i="17"/>
  <c r="AA189" i="17"/>
  <c r="N189" i="17"/>
  <c r="L189" i="17"/>
  <c r="I189" i="17"/>
  <c r="H189" i="17"/>
  <c r="AA188" i="17"/>
  <c r="N188" i="17"/>
  <c r="L188" i="17"/>
  <c r="I188" i="17"/>
  <c r="H188" i="17"/>
  <c r="AA187" i="17"/>
  <c r="N187" i="17"/>
  <c r="L187" i="17"/>
  <c r="I187" i="17"/>
  <c r="H187" i="17"/>
  <c r="AA186" i="17"/>
  <c r="N186" i="17"/>
  <c r="L186" i="17"/>
  <c r="I186" i="17"/>
  <c r="H186" i="17"/>
  <c r="AA185" i="17"/>
  <c r="N185" i="17"/>
  <c r="L185" i="17"/>
  <c r="I185" i="17"/>
  <c r="H185" i="17"/>
  <c r="AA184" i="17"/>
  <c r="N184" i="17"/>
  <c r="L184" i="17"/>
  <c r="I184" i="17"/>
  <c r="H184" i="17"/>
  <c r="AA183" i="17"/>
  <c r="N183" i="17"/>
  <c r="L183" i="17"/>
  <c r="I183" i="17"/>
  <c r="H183" i="17"/>
  <c r="AA182" i="17"/>
  <c r="N182" i="17"/>
  <c r="L182" i="17"/>
  <c r="I182" i="17"/>
  <c r="H182" i="17"/>
  <c r="AA181" i="17"/>
  <c r="N181" i="17"/>
  <c r="L181" i="17"/>
  <c r="I181" i="17"/>
  <c r="H181" i="17"/>
  <c r="AA180" i="17"/>
  <c r="N180" i="17"/>
  <c r="L180" i="17"/>
  <c r="I180" i="17"/>
  <c r="H180" i="17"/>
  <c r="AA179" i="17"/>
  <c r="N179" i="17"/>
  <c r="L179" i="17"/>
  <c r="I179" i="17"/>
  <c r="H179" i="17"/>
  <c r="AA178" i="17"/>
  <c r="N178" i="17"/>
  <c r="L178" i="17"/>
  <c r="I178" i="17"/>
  <c r="H178" i="17"/>
  <c r="AA177" i="17"/>
  <c r="N177" i="17"/>
  <c r="L177" i="17"/>
  <c r="I177" i="17"/>
  <c r="H177" i="17"/>
  <c r="AA176" i="17"/>
  <c r="N176" i="17"/>
  <c r="L176" i="17"/>
  <c r="I176" i="17"/>
  <c r="H176" i="17"/>
  <c r="AA175" i="17"/>
  <c r="N175" i="17"/>
  <c r="L175" i="17"/>
  <c r="I175" i="17"/>
  <c r="H175" i="17"/>
  <c r="AA174" i="17"/>
  <c r="N174" i="17"/>
  <c r="L174" i="17"/>
  <c r="I174" i="17"/>
  <c r="H174" i="17"/>
  <c r="AA173" i="17"/>
  <c r="N173" i="17"/>
  <c r="L173" i="17"/>
  <c r="I173" i="17"/>
  <c r="H173" i="17"/>
  <c r="AA172" i="17"/>
  <c r="N172" i="17"/>
  <c r="L172" i="17"/>
  <c r="I172" i="17"/>
  <c r="H172" i="17"/>
  <c r="AA171" i="17"/>
  <c r="N171" i="17"/>
  <c r="L171" i="17"/>
  <c r="I171" i="17"/>
  <c r="H171" i="17"/>
  <c r="AA170" i="17"/>
  <c r="N170" i="17"/>
  <c r="L170" i="17"/>
  <c r="I170" i="17"/>
  <c r="H170" i="17"/>
  <c r="AA169" i="17"/>
  <c r="N169" i="17"/>
  <c r="L169" i="17"/>
  <c r="I169" i="17"/>
  <c r="H169" i="17"/>
  <c r="AA168" i="17"/>
  <c r="N168" i="17"/>
  <c r="L168" i="17"/>
  <c r="I168" i="17"/>
  <c r="H168" i="17"/>
  <c r="AA167" i="17"/>
  <c r="N167" i="17"/>
  <c r="L167" i="17"/>
  <c r="I167" i="17"/>
  <c r="H167" i="17"/>
  <c r="AA166" i="17"/>
  <c r="N166" i="17"/>
  <c r="L166" i="17"/>
  <c r="I166" i="17"/>
  <c r="H166" i="17"/>
  <c r="AA165" i="17"/>
  <c r="N165" i="17"/>
  <c r="L165" i="17"/>
  <c r="I165" i="17"/>
  <c r="H165" i="17"/>
  <c r="AA164" i="17"/>
  <c r="N164" i="17"/>
  <c r="L164" i="17"/>
  <c r="I164" i="17"/>
  <c r="H164" i="17"/>
  <c r="AA163" i="17"/>
  <c r="N163" i="17"/>
  <c r="L163" i="17"/>
  <c r="I163" i="17"/>
  <c r="H163" i="17"/>
  <c r="AA162" i="17"/>
  <c r="N162" i="17"/>
  <c r="L162" i="17"/>
  <c r="I162" i="17"/>
  <c r="H162" i="17"/>
  <c r="AA161" i="17"/>
  <c r="N161" i="17"/>
  <c r="L161" i="17"/>
  <c r="I161" i="17"/>
  <c r="H161" i="17"/>
  <c r="AA160" i="17"/>
  <c r="N160" i="17"/>
  <c r="L160" i="17"/>
  <c r="I160" i="17"/>
  <c r="H160" i="17"/>
  <c r="AA159" i="17"/>
  <c r="N159" i="17"/>
  <c r="L159" i="17"/>
  <c r="I159" i="17"/>
  <c r="H159" i="17"/>
  <c r="AA158" i="17"/>
  <c r="N158" i="17"/>
  <c r="L158" i="17"/>
  <c r="I158" i="17"/>
  <c r="H158" i="17"/>
  <c r="AA157" i="17"/>
  <c r="N157" i="17"/>
  <c r="L157" i="17"/>
  <c r="I157" i="17"/>
  <c r="H157" i="17"/>
  <c r="AA156" i="17"/>
  <c r="N156" i="17"/>
  <c r="L156" i="17"/>
  <c r="I156" i="17"/>
  <c r="H156" i="17"/>
  <c r="AA155" i="17"/>
  <c r="N155" i="17"/>
  <c r="L155" i="17"/>
  <c r="I155" i="17"/>
  <c r="H155" i="17"/>
  <c r="AA154" i="17"/>
  <c r="N154" i="17"/>
  <c r="L154" i="17"/>
  <c r="I154" i="17"/>
  <c r="H154" i="17"/>
  <c r="AA153" i="17"/>
  <c r="N153" i="17"/>
  <c r="L153" i="17"/>
  <c r="I153" i="17"/>
  <c r="H153" i="17"/>
  <c r="AA152" i="17"/>
  <c r="N152" i="17"/>
  <c r="L152" i="17"/>
  <c r="I152" i="17"/>
  <c r="H152" i="17"/>
  <c r="AA151" i="17"/>
  <c r="N151" i="17"/>
  <c r="L151" i="17"/>
  <c r="I151" i="17"/>
  <c r="H151" i="17"/>
  <c r="AA150" i="17"/>
  <c r="N150" i="17"/>
  <c r="L150" i="17"/>
  <c r="I150" i="17"/>
  <c r="H150" i="17"/>
  <c r="AA149" i="17"/>
  <c r="N149" i="17"/>
  <c r="L149" i="17"/>
  <c r="I149" i="17"/>
  <c r="H149" i="17"/>
  <c r="AA148" i="17"/>
  <c r="N148" i="17"/>
  <c r="L148" i="17"/>
  <c r="I148" i="17"/>
  <c r="H148" i="17"/>
  <c r="AA147" i="17"/>
  <c r="N147" i="17"/>
  <c r="L147" i="17"/>
  <c r="I147" i="17"/>
  <c r="H147" i="17"/>
  <c r="AA146" i="17"/>
  <c r="N146" i="17"/>
  <c r="L146" i="17"/>
  <c r="I146" i="17"/>
  <c r="H146" i="17"/>
  <c r="AA145" i="17"/>
  <c r="N145" i="17"/>
  <c r="L145" i="17"/>
  <c r="I145" i="17"/>
  <c r="H145" i="17"/>
  <c r="AA144" i="17"/>
  <c r="N144" i="17"/>
  <c r="L144" i="17"/>
  <c r="I144" i="17"/>
  <c r="H144" i="17"/>
  <c r="AA143" i="17"/>
  <c r="N143" i="17"/>
  <c r="L143" i="17"/>
  <c r="I143" i="17"/>
  <c r="H143" i="17"/>
  <c r="AA142" i="17"/>
  <c r="N142" i="17"/>
  <c r="L142" i="17"/>
  <c r="I142" i="17"/>
  <c r="H142" i="17"/>
  <c r="AA141" i="17"/>
  <c r="N141" i="17"/>
  <c r="L141" i="17"/>
  <c r="I141" i="17"/>
  <c r="H141" i="17"/>
  <c r="AA140" i="17"/>
  <c r="N140" i="17"/>
  <c r="L140" i="17"/>
  <c r="I140" i="17"/>
  <c r="H140" i="17"/>
  <c r="AA139" i="17"/>
  <c r="N139" i="17"/>
  <c r="L139" i="17"/>
  <c r="I139" i="17"/>
  <c r="H139" i="17"/>
  <c r="AA138" i="17"/>
  <c r="N138" i="17"/>
  <c r="L138" i="17"/>
  <c r="I138" i="17"/>
  <c r="H138" i="17"/>
  <c r="AA137" i="17"/>
  <c r="N137" i="17"/>
  <c r="L137" i="17"/>
  <c r="I137" i="17"/>
  <c r="H137" i="17"/>
  <c r="AA136" i="17"/>
  <c r="N136" i="17"/>
  <c r="L136" i="17"/>
  <c r="I136" i="17"/>
  <c r="H136" i="17"/>
  <c r="AA135" i="17"/>
  <c r="N135" i="17"/>
  <c r="L135" i="17"/>
  <c r="I135" i="17"/>
  <c r="H135" i="17"/>
  <c r="AA134" i="17"/>
  <c r="N134" i="17"/>
  <c r="L134" i="17"/>
  <c r="I134" i="17"/>
  <c r="H134" i="17"/>
  <c r="AA133" i="17"/>
  <c r="N133" i="17"/>
  <c r="L133" i="17"/>
  <c r="I133" i="17"/>
  <c r="H133" i="17"/>
  <c r="AA132" i="17"/>
  <c r="N132" i="17"/>
  <c r="L132" i="17"/>
  <c r="I132" i="17"/>
  <c r="H132" i="17"/>
  <c r="AA131" i="17"/>
  <c r="N131" i="17"/>
  <c r="L131" i="17"/>
  <c r="I131" i="17"/>
  <c r="H131" i="17"/>
  <c r="AA130" i="17"/>
  <c r="N130" i="17"/>
  <c r="L130" i="17"/>
  <c r="I130" i="17"/>
  <c r="H130" i="17"/>
  <c r="AA129" i="17"/>
  <c r="N129" i="17"/>
  <c r="L129" i="17"/>
  <c r="I129" i="17"/>
  <c r="H129" i="17"/>
  <c r="AA128" i="17"/>
  <c r="N128" i="17"/>
  <c r="L128" i="17"/>
  <c r="I128" i="17"/>
  <c r="H128" i="17"/>
  <c r="AA127" i="17"/>
  <c r="N127" i="17"/>
  <c r="L127" i="17"/>
  <c r="I127" i="17"/>
  <c r="H127" i="17"/>
  <c r="AA126" i="17"/>
  <c r="N126" i="17"/>
  <c r="L126" i="17"/>
  <c r="I126" i="17"/>
  <c r="H126" i="17"/>
  <c r="AA125" i="17"/>
  <c r="N125" i="17"/>
  <c r="L125" i="17"/>
  <c r="I125" i="17"/>
  <c r="H125" i="17"/>
  <c r="AA124" i="17"/>
  <c r="N124" i="17"/>
  <c r="L124" i="17"/>
  <c r="I124" i="17"/>
  <c r="H124" i="17"/>
  <c r="AA123" i="17"/>
  <c r="N123" i="17"/>
  <c r="L123" i="17"/>
  <c r="I123" i="17"/>
  <c r="H123" i="17"/>
  <c r="AA122" i="17"/>
  <c r="N122" i="17"/>
  <c r="L122" i="17"/>
  <c r="I122" i="17"/>
  <c r="H122" i="17"/>
  <c r="AA121" i="17"/>
  <c r="N121" i="17"/>
  <c r="L121" i="17"/>
  <c r="I121" i="17"/>
  <c r="H121" i="17"/>
  <c r="AA120" i="17"/>
  <c r="N120" i="17"/>
  <c r="L120" i="17"/>
  <c r="I120" i="17"/>
  <c r="H120" i="17"/>
  <c r="AA119" i="17"/>
  <c r="N119" i="17"/>
  <c r="L119" i="17"/>
  <c r="I119" i="17"/>
  <c r="H119" i="17"/>
  <c r="AA118" i="17"/>
  <c r="N118" i="17"/>
  <c r="L118" i="17"/>
  <c r="I118" i="17"/>
  <c r="H118" i="17"/>
  <c r="AA117" i="17"/>
  <c r="N117" i="17"/>
  <c r="L117" i="17"/>
  <c r="I117" i="17"/>
  <c r="H117" i="17"/>
  <c r="AA116" i="17"/>
  <c r="N116" i="17"/>
  <c r="L116" i="17"/>
  <c r="I116" i="17"/>
  <c r="H116" i="17"/>
  <c r="AA115" i="17"/>
  <c r="N115" i="17"/>
  <c r="L115" i="17"/>
  <c r="I115" i="17"/>
  <c r="H115" i="17"/>
  <c r="AA114" i="17"/>
  <c r="N114" i="17"/>
  <c r="L114" i="17"/>
  <c r="I114" i="17"/>
  <c r="H114" i="17"/>
  <c r="AA113" i="17"/>
  <c r="N113" i="17"/>
  <c r="L113" i="17"/>
  <c r="I113" i="17"/>
  <c r="H113" i="17"/>
  <c r="AA112" i="17"/>
  <c r="N112" i="17"/>
  <c r="L112" i="17"/>
  <c r="I112" i="17"/>
  <c r="H112" i="17"/>
  <c r="AA111" i="17"/>
  <c r="N111" i="17"/>
  <c r="L111" i="17"/>
  <c r="I111" i="17"/>
  <c r="H111" i="17"/>
  <c r="AA110" i="17"/>
  <c r="N110" i="17"/>
  <c r="L110" i="17"/>
  <c r="I110" i="17"/>
  <c r="H110" i="17"/>
  <c r="AA109" i="17"/>
  <c r="N109" i="17"/>
  <c r="L109" i="17"/>
  <c r="I109" i="17"/>
  <c r="H109" i="17"/>
  <c r="AA108" i="17"/>
  <c r="N108" i="17"/>
  <c r="L108" i="17"/>
  <c r="I108" i="17"/>
  <c r="H108" i="17"/>
  <c r="AA107" i="17"/>
  <c r="N107" i="17"/>
  <c r="L107" i="17"/>
  <c r="I107" i="17"/>
  <c r="H107" i="17"/>
  <c r="AA106" i="17"/>
  <c r="N106" i="17"/>
  <c r="L106" i="17"/>
  <c r="I106" i="17"/>
  <c r="H106" i="17"/>
  <c r="AA105" i="17"/>
  <c r="N105" i="17"/>
  <c r="L105" i="17"/>
  <c r="I105" i="17"/>
  <c r="H105" i="17"/>
  <c r="AA104" i="17"/>
  <c r="N104" i="17"/>
  <c r="L104" i="17"/>
  <c r="I104" i="17"/>
  <c r="H104" i="17"/>
  <c r="AA103" i="17"/>
  <c r="N103" i="17"/>
  <c r="L103" i="17"/>
  <c r="I103" i="17"/>
  <c r="H103" i="17"/>
  <c r="AA102" i="17"/>
  <c r="N102" i="17"/>
  <c r="L102" i="17"/>
  <c r="I102" i="17"/>
  <c r="H102" i="17"/>
  <c r="AA101" i="17"/>
  <c r="N101" i="17"/>
  <c r="L101" i="17"/>
  <c r="I101" i="17"/>
  <c r="H101" i="17"/>
  <c r="AA100" i="17"/>
  <c r="N100" i="17"/>
  <c r="L100" i="17"/>
  <c r="I100" i="17"/>
  <c r="H100" i="17"/>
  <c r="AA99" i="17"/>
  <c r="N99" i="17"/>
  <c r="L99" i="17"/>
  <c r="I99" i="17"/>
  <c r="H99" i="17"/>
  <c r="AA98" i="17"/>
  <c r="N98" i="17"/>
  <c r="L98" i="17"/>
  <c r="I98" i="17"/>
  <c r="H98" i="17"/>
  <c r="AA97" i="17"/>
  <c r="N97" i="17"/>
  <c r="L97" i="17"/>
  <c r="I97" i="17"/>
  <c r="H97" i="17"/>
  <c r="AA96" i="17"/>
  <c r="N96" i="17"/>
  <c r="L96" i="17"/>
  <c r="I96" i="17"/>
  <c r="H96" i="17"/>
  <c r="AA95" i="17"/>
  <c r="N95" i="17"/>
  <c r="L95" i="17"/>
  <c r="I95" i="17"/>
  <c r="H95" i="17"/>
  <c r="AA94" i="17"/>
  <c r="N94" i="17"/>
  <c r="L94" i="17"/>
  <c r="I94" i="17"/>
  <c r="H94" i="17"/>
  <c r="AA93" i="17"/>
  <c r="N93" i="17"/>
  <c r="L93" i="17"/>
  <c r="I93" i="17"/>
  <c r="H93" i="17"/>
  <c r="AA92" i="17"/>
  <c r="N92" i="17"/>
  <c r="L92" i="17"/>
  <c r="I92" i="17"/>
  <c r="H92" i="17"/>
  <c r="AA91" i="17"/>
  <c r="N91" i="17"/>
  <c r="L91" i="17"/>
  <c r="I91" i="17"/>
  <c r="H91" i="17"/>
  <c r="AA90" i="17"/>
  <c r="N90" i="17"/>
  <c r="L90" i="17"/>
  <c r="I90" i="17"/>
  <c r="H90" i="17"/>
  <c r="AA89" i="17"/>
  <c r="N89" i="17"/>
  <c r="L89" i="17"/>
  <c r="I89" i="17"/>
  <c r="H89" i="17"/>
  <c r="AA88" i="17"/>
  <c r="N88" i="17"/>
  <c r="L88" i="17"/>
  <c r="I88" i="17"/>
  <c r="H88" i="17"/>
  <c r="AA87" i="17"/>
  <c r="N87" i="17"/>
  <c r="L87" i="17"/>
  <c r="I87" i="17"/>
  <c r="H87" i="17"/>
  <c r="AA86" i="17"/>
  <c r="N86" i="17"/>
  <c r="L86" i="17"/>
  <c r="I86" i="17"/>
  <c r="H86" i="17"/>
  <c r="AA85" i="17"/>
  <c r="N85" i="17"/>
  <c r="L85" i="17"/>
  <c r="I85" i="17"/>
  <c r="H85" i="17"/>
  <c r="AA84" i="17"/>
  <c r="N84" i="17"/>
  <c r="L84" i="17"/>
  <c r="I84" i="17"/>
  <c r="H84" i="17"/>
  <c r="AA83" i="17"/>
  <c r="N83" i="17"/>
  <c r="L83" i="17"/>
  <c r="I83" i="17"/>
  <c r="H83" i="17"/>
  <c r="AA82" i="17"/>
  <c r="N82" i="17"/>
  <c r="L82" i="17"/>
  <c r="I82" i="17"/>
  <c r="H82" i="17"/>
  <c r="AA81" i="17"/>
  <c r="N81" i="17"/>
  <c r="L81" i="17"/>
  <c r="I81" i="17"/>
  <c r="H81" i="17"/>
  <c r="AA80" i="17"/>
  <c r="N80" i="17"/>
  <c r="L80" i="17"/>
  <c r="I80" i="17"/>
  <c r="H80" i="17"/>
  <c r="AA79" i="17"/>
  <c r="N79" i="17"/>
  <c r="L79" i="17"/>
  <c r="I79" i="17"/>
  <c r="H79" i="17"/>
  <c r="AA78" i="17"/>
  <c r="N78" i="17"/>
  <c r="L78" i="17"/>
  <c r="I78" i="17"/>
  <c r="H78" i="17"/>
  <c r="AA77" i="17"/>
  <c r="N77" i="17"/>
  <c r="L77" i="17"/>
  <c r="I77" i="17"/>
  <c r="H77" i="17"/>
  <c r="AA76" i="17"/>
  <c r="N76" i="17"/>
  <c r="L76" i="17"/>
  <c r="I76" i="17"/>
  <c r="H76" i="17"/>
  <c r="AA75" i="17"/>
  <c r="N75" i="17"/>
  <c r="L75" i="17"/>
  <c r="I75" i="17"/>
  <c r="H75" i="17"/>
  <c r="AA74" i="17"/>
  <c r="N74" i="17"/>
  <c r="L74" i="17"/>
  <c r="I74" i="17"/>
  <c r="H74" i="17"/>
  <c r="AA73" i="17"/>
  <c r="N73" i="17"/>
  <c r="L73" i="17"/>
  <c r="I73" i="17"/>
  <c r="H73" i="17"/>
  <c r="AA72" i="17"/>
  <c r="N72" i="17"/>
  <c r="L72" i="17"/>
  <c r="I72" i="17"/>
  <c r="H72" i="17"/>
  <c r="AA71" i="17"/>
  <c r="N71" i="17"/>
  <c r="L71" i="17"/>
  <c r="I71" i="17"/>
  <c r="H71" i="17"/>
  <c r="AA70" i="17"/>
  <c r="N70" i="17"/>
  <c r="L70" i="17"/>
  <c r="I70" i="17"/>
  <c r="H70" i="17"/>
  <c r="AA69" i="17"/>
  <c r="N69" i="17"/>
  <c r="L69" i="17"/>
  <c r="I69" i="17"/>
  <c r="H69" i="17"/>
  <c r="AA68" i="17"/>
  <c r="N68" i="17"/>
  <c r="L68" i="17"/>
  <c r="I68" i="17"/>
  <c r="H68" i="17"/>
  <c r="AA67" i="17"/>
  <c r="N67" i="17"/>
  <c r="L67" i="17"/>
  <c r="I67" i="17"/>
  <c r="H67" i="17"/>
  <c r="AA66" i="17"/>
  <c r="N66" i="17"/>
  <c r="L66" i="17"/>
  <c r="I66" i="17"/>
  <c r="H66" i="17"/>
  <c r="AA65" i="17"/>
  <c r="N65" i="17"/>
  <c r="L65" i="17"/>
  <c r="I65" i="17"/>
  <c r="H65" i="17"/>
  <c r="AA64" i="17"/>
  <c r="N64" i="17"/>
  <c r="L64" i="17"/>
  <c r="I64" i="17"/>
  <c r="H64" i="17"/>
  <c r="AA63" i="17"/>
  <c r="N63" i="17"/>
  <c r="L63" i="17"/>
  <c r="I63" i="17"/>
  <c r="H63" i="17"/>
  <c r="AA62" i="17"/>
  <c r="N62" i="17"/>
  <c r="L62" i="17"/>
  <c r="I62" i="17"/>
  <c r="H62" i="17"/>
  <c r="AA61" i="17"/>
  <c r="N61" i="17"/>
  <c r="L61" i="17"/>
  <c r="I61" i="17"/>
  <c r="H61" i="17"/>
  <c r="AA60" i="17"/>
  <c r="N60" i="17"/>
  <c r="L60" i="17"/>
  <c r="I60" i="17"/>
  <c r="H60" i="17"/>
  <c r="AA59" i="17"/>
  <c r="N59" i="17"/>
  <c r="L59" i="17"/>
  <c r="I59" i="17"/>
  <c r="H59" i="17"/>
  <c r="AA58" i="17"/>
  <c r="N58" i="17"/>
  <c r="L58" i="17"/>
  <c r="I58" i="17"/>
  <c r="H58" i="17"/>
  <c r="AA57" i="17"/>
  <c r="N57" i="17"/>
  <c r="L57" i="17"/>
  <c r="I57" i="17"/>
  <c r="H57" i="17"/>
  <c r="AA56" i="17"/>
  <c r="N56" i="17"/>
  <c r="L56" i="17"/>
  <c r="I56" i="17"/>
  <c r="H56" i="17"/>
  <c r="AA55" i="17"/>
  <c r="N55" i="17"/>
  <c r="L55" i="17"/>
  <c r="I55" i="17"/>
  <c r="H55" i="17"/>
  <c r="AA54" i="17"/>
  <c r="N54" i="17"/>
  <c r="L54" i="17"/>
  <c r="I54" i="17"/>
  <c r="H54" i="17"/>
  <c r="AA53" i="17"/>
  <c r="N53" i="17"/>
  <c r="L53" i="17"/>
  <c r="I53" i="17"/>
  <c r="H53" i="17"/>
  <c r="AA52" i="17"/>
  <c r="N52" i="17"/>
  <c r="L52" i="17"/>
  <c r="I52" i="17"/>
  <c r="H52" i="17"/>
  <c r="AA51" i="17"/>
  <c r="N51" i="17"/>
  <c r="L51" i="17"/>
  <c r="I51" i="17"/>
  <c r="H51" i="17"/>
  <c r="AA50" i="17"/>
  <c r="N50" i="17"/>
  <c r="L50" i="17"/>
  <c r="I50" i="17"/>
  <c r="H50" i="17"/>
  <c r="AA49" i="17"/>
  <c r="N49" i="17"/>
  <c r="L49" i="17"/>
  <c r="I49" i="17"/>
  <c r="H49" i="17"/>
  <c r="AA48" i="17"/>
  <c r="N48" i="17"/>
  <c r="L48" i="17"/>
  <c r="I48" i="17"/>
  <c r="H48" i="17"/>
  <c r="AA47" i="17"/>
  <c r="N47" i="17"/>
  <c r="L47" i="17"/>
  <c r="I47" i="17"/>
  <c r="H47" i="17"/>
  <c r="AA46" i="17"/>
  <c r="N46" i="17"/>
  <c r="L46" i="17"/>
  <c r="I46" i="17"/>
  <c r="H46" i="17"/>
  <c r="AA45" i="17"/>
  <c r="N45" i="17"/>
  <c r="L45" i="17"/>
  <c r="I45" i="17"/>
  <c r="H45" i="17"/>
  <c r="AA44" i="17"/>
  <c r="N44" i="17"/>
  <c r="L44" i="17"/>
  <c r="I44" i="17"/>
  <c r="H44" i="17"/>
  <c r="AA43" i="17"/>
  <c r="N43" i="17"/>
  <c r="L43" i="17"/>
  <c r="I43" i="17"/>
  <c r="H43" i="17"/>
  <c r="AA42" i="17"/>
  <c r="N42" i="17"/>
  <c r="L42" i="17"/>
  <c r="I42" i="17"/>
  <c r="H42" i="17"/>
  <c r="AA41" i="17"/>
  <c r="N41" i="17"/>
  <c r="L41" i="17"/>
  <c r="I41" i="17"/>
  <c r="H41" i="17"/>
  <c r="AA40" i="17"/>
  <c r="N40" i="17"/>
  <c r="L40" i="17"/>
  <c r="I40" i="17"/>
  <c r="H40" i="17"/>
  <c r="AA39" i="17"/>
  <c r="N39" i="17"/>
  <c r="L39" i="17"/>
  <c r="I39" i="17"/>
  <c r="H39" i="17"/>
  <c r="AA38" i="17"/>
  <c r="N38" i="17"/>
  <c r="L38" i="17"/>
  <c r="I38" i="17"/>
  <c r="H38" i="17"/>
  <c r="AA37" i="17"/>
  <c r="N37" i="17"/>
  <c r="L37" i="17"/>
  <c r="I37" i="17"/>
  <c r="H37" i="17"/>
  <c r="AA36" i="17"/>
  <c r="N36" i="17"/>
  <c r="L36" i="17"/>
  <c r="I36" i="17"/>
  <c r="H36" i="17"/>
  <c r="AA35" i="17"/>
  <c r="N35" i="17"/>
  <c r="L35" i="17"/>
  <c r="I35" i="17"/>
  <c r="H35" i="17"/>
  <c r="AA34" i="17"/>
  <c r="N34" i="17"/>
  <c r="L34" i="17"/>
  <c r="I34" i="17"/>
  <c r="H34" i="17"/>
  <c r="AA33" i="17"/>
  <c r="N33" i="17"/>
  <c r="L33" i="17"/>
  <c r="I33" i="17"/>
  <c r="H33" i="17"/>
  <c r="AA32" i="17"/>
  <c r="N32" i="17"/>
  <c r="L32" i="17"/>
  <c r="I32" i="17"/>
  <c r="H32" i="17"/>
  <c r="AA31" i="17"/>
  <c r="N31" i="17"/>
  <c r="L31" i="17"/>
  <c r="I31" i="17"/>
  <c r="H31" i="17"/>
  <c r="AA30" i="17"/>
  <c r="N30" i="17"/>
  <c r="L30" i="17"/>
  <c r="I30" i="17"/>
  <c r="H30" i="17"/>
  <c r="AA29" i="17"/>
  <c r="N29" i="17"/>
  <c r="L29" i="17"/>
  <c r="I29" i="17"/>
  <c r="H29" i="17"/>
  <c r="AA28" i="17"/>
  <c r="N28" i="17"/>
  <c r="L28" i="17"/>
  <c r="I28" i="17"/>
  <c r="H28" i="17"/>
  <c r="AA27" i="17"/>
  <c r="N27" i="17"/>
  <c r="L27" i="17"/>
  <c r="I27" i="17"/>
  <c r="H27" i="17"/>
  <c r="AA26" i="17"/>
  <c r="N26" i="17"/>
  <c r="L26" i="17"/>
  <c r="I26" i="17"/>
  <c r="H26" i="17"/>
  <c r="AA25" i="17"/>
  <c r="N25" i="17"/>
  <c r="L25" i="17"/>
  <c r="I25" i="17"/>
  <c r="H25" i="17"/>
  <c r="AA24" i="17"/>
  <c r="N24" i="17"/>
  <c r="L24" i="17"/>
  <c r="I24" i="17"/>
  <c r="H24" i="17"/>
  <c r="AA23" i="17"/>
  <c r="N23" i="17"/>
  <c r="L23" i="17"/>
  <c r="I23" i="17"/>
  <c r="H23" i="17"/>
  <c r="AA22" i="17"/>
  <c r="N22" i="17"/>
  <c r="L22" i="17"/>
  <c r="I22" i="17"/>
  <c r="H22" i="17"/>
  <c r="AA21" i="17"/>
  <c r="N21" i="17"/>
  <c r="L21" i="17"/>
  <c r="I21" i="17"/>
  <c r="H21" i="17"/>
  <c r="AA20" i="17"/>
  <c r="N20" i="17"/>
  <c r="L20" i="17"/>
  <c r="I20" i="17"/>
  <c r="H20" i="17"/>
  <c r="AA19" i="17"/>
  <c r="N19" i="17"/>
  <c r="L19" i="17"/>
  <c r="I19" i="17"/>
  <c r="H19" i="17"/>
  <c r="AA18" i="17"/>
  <c r="N18" i="17"/>
  <c r="L18" i="17"/>
  <c r="I18" i="17"/>
  <c r="H18" i="17"/>
  <c r="AA17" i="17"/>
  <c r="N17" i="17"/>
  <c r="L17" i="17"/>
  <c r="I17" i="17"/>
  <c r="H17" i="17"/>
  <c r="AA16" i="17"/>
  <c r="N16" i="17"/>
  <c r="L16" i="17"/>
  <c r="I16" i="17"/>
  <c r="H16" i="17"/>
  <c r="AA15" i="17"/>
  <c r="N15" i="17"/>
  <c r="L15" i="17"/>
  <c r="I15" i="17"/>
  <c r="H15" i="17"/>
  <c r="AA14" i="17"/>
  <c r="N14" i="17"/>
  <c r="L14" i="17"/>
  <c r="I14" i="17"/>
  <c r="H14" i="17"/>
  <c r="AA13" i="17"/>
  <c r="N13" i="17"/>
  <c r="L13" i="17"/>
  <c r="I13" i="17"/>
  <c r="H13" i="17"/>
  <c r="AA12" i="17"/>
  <c r="N12" i="17"/>
  <c r="L12" i="17"/>
  <c r="I12" i="17"/>
  <c r="H12" i="17"/>
  <c r="AA11" i="17"/>
  <c r="N11" i="17"/>
  <c r="L11" i="17"/>
  <c r="I11" i="17"/>
  <c r="H11" i="17"/>
  <c r="AA10" i="17"/>
  <c r="N10" i="17"/>
  <c r="L10" i="17"/>
  <c r="I10" i="17"/>
  <c r="H10" i="17"/>
  <c r="AA9" i="17"/>
  <c r="N9" i="17"/>
  <c r="L9" i="17"/>
  <c r="I9" i="17"/>
  <c r="H9" i="17"/>
  <c r="AA8" i="17"/>
  <c r="N8" i="17"/>
  <c r="L8" i="17"/>
  <c r="I8" i="17"/>
  <c r="H8" i="17"/>
  <c r="AA7" i="17"/>
  <c r="N7" i="17"/>
  <c r="L7" i="17"/>
  <c r="I7" i="17"/>
  <c r="H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67" i="17" s="1"/>
  <c r="B368" i="17" s="1"/>
  <c r="B369" i="17" s="1"/>
  <c r="B370" i="17" s="1"/>
  <c r="B371" i="17" s="1"/>
  <c r="B372" i="17" s="1"/>
  <c r="B373" i="17" s="1"/>
  <c r="B374" i="17" s="1"/>
  <c r="B375" i="17" s="1"/>
  <c r="B376" i="17" s="1"/>
  <c r="B377" i="17" s="1"/>
  <c r="B378" i="17" s="1"/>
  <c r="B379" i="17" s="1"/>
  <c r="B380" i="17" s="1"/>
  <c r="B381" i="17" s="1"/>
  <c r="B382" i="17" s="1"/>
  <c r="B383" i="17" s="1"/>
  <c r="B384" i="17" s="1"/>
  <c r="B385" i="17" s="1"/>
  <c r="B386" i="17" s="1"/>
  <c r="B387" i="17" s="1"/>
  <c r="B388" i="17" s="1"/>
  <c r="B389" i="17" s="1"/>
  <c r="B390" i="17" s="1"/>
  <c r="B391" i="17" s="1"/>
  <c r="B392" i="17" s="1"/>
  <c r="B393" i="17" s="1"/>
  <c r="B394" i="17" s="1"/>
  <c r="B395" i="17" s="1"/>
  <c r="B396" i="17" s="1"/>
  <c r="B397" i="17" s="1"/>
  <c r="B398" i="17" s="1"/>
  <c r="B399" i="17" s="1"/>
  <c r="B400" i="17" s="1"/>
  <c r="B401" i="17" s="1"/>
  <c r="B402" i="17" s="1"/>
  <c r="B403" i="17" s="1"/>
  <c r="B404" i="17" s="1"/>
  <c r="B405" i="17" s="1"/>
  <c r="B406" i="17" s="1"/>
  <c r="B407" i="17" s="1"/>
  <c r="B408" i="17" s="1"/>
  <c r="B409" i="17" s="1"/>
  <c r="B410" i="17" s="1"/>
  <c r="B411" i="17" s="1"/>
  <c r="B412" i="17" s="1"/>
  <c r="B413" i="17" s="1"/>
  <c r="B414" i="17" s="1"/>
  <c r="B415" i="17" s="1"/>
  <c r="B416" i="17" s="1"/>
  <c r="B417" i="17" s="1"/>
  <c r="B418" i="17" s="1"/>
  <c r="B419" i="17" s="1"/>
  <c r="B420" i="17" s="1"/>
  <c r="B421" i="17" s="1"/>
  <c r="B422" i="17" s="1"/>
  <c r="B423" i="17" s="1"/>
  <c r="B424" i="17" s="1"/>
  <c r="B425" i="17" s="1"/>
  <c r="B426" i="17" s="1"/>
  <c r="B427" i="17" s="1"/>
  <c r="B428" i="17" s="1"/>
  <c r="B429" i="17" s="1"/>
  <c r="B430" i="17" s="1"/>
  <c r="B431" i="17" s="1"/>
  <c r="B432" i="17" s="1"/>
  <c r="B433" i="17" s="1"/>
  <c r="B434" i="17" s="1"/>
  <c r="B435" i="17" s="1"/>
  <c r="B436" i="17" s="1"/>
  <c r="B437" i="17" s="1"/>
  <c r="B438" i="17" s="1"/>
  <c r="B439" i="17" s="1"/>
  <c r="B440" i="17" s="1"/>
  <c r="B441" i="17" s="1"/>
  <c r="B442" i="17" s="1"/>
  <c r="B443" i="17" s="1"/>
  <c r="B444" i="17" s="1"/>
  <c r="B445" i="17" s="1"/>
  <c r="B446" i="17" s="1"/>
  <c r="B447" i="17" s="1"/>
  <c r="B448" i="17" s="1"/>
  <c r="B449" i="17" s="1"/>
  <c r="B450" i="17" s="1"/>
  <c r="B451" i="17" s="1"/>
  <c r="B452" i="17" s="1"/>
  <c r="B453" i="17" s="1"/>
  <c r="B454" i="17" s="1"/>
  <c r="B455" i="17" s="1"/>
  <c r="B456" i="17" s="1"/>
  <c r="B457" i="17" s="1"/>
  <c r="B458" i="17" s="1"/>
  <c r="B459" i="17" s="1"/>
  <c r="B460" i="17" s="1"/>
  <c r="B461" i="17" s="1"/>
  <c r="B462" i="17" s="1"/>
  <c r="B463" i="17" s="1"/>
  <c r="B464" i="17" s="1"/>
  <c r="B465" i="17" s="1"/>
  <c r="B466" i="17" s="1"/>
  <c r="B467" i="17" s="1"/>
  <c r="B468" i="17" s="1"/>
  <c r="B469" i="17" s="1"/>
  <c r="B470" i="17" s="1"/>
  <c r="B471" i="17" s="1"/>
  <c r="B472" i="17" s="1"/>
  <c r="B473" i="17" s="1"/>
  <c r="B474" i="17" s="1"/>
  <c r="B475" i="17" s="1"/>
  <c r="AA6" i="17"/>
  <c r="N6" i="17"/>
  <c r="L6" i="17"/>
  <c r="I6" i="17"/>
  <c r="H6" i="17"/>
  <c r="Y136" i="17" l="1"/>
  <c r="Y140" i="17"/>
  <c r="Y144" i="17"/>
  <c r="Y152" i="17"/>
  <c r="Y160" i="17"/>
  <c r="Y355" i="17"/>
  <c r="Y158" i="17"/>
  <c r="Y162" i="17"/>
  <c r="Y194" i="17"/>
  <c r="Y198" i="17"/>
  <c r="G477" i="17"/>
  <c r="Y148" i="17"/>
  <c r="Y156" i="17"/>
  <c r="Y451" i="17"/>
  <c r="Y459" i="17"/>
  <c r="Y95" i="17"/>
  <c r="Y99" i="17"/>
  <c r="Y103" i="17"/>
  <c r="Y107" i="17"/>
  <c r="Y111" i="17"/>
  <c r="Y115" i="17"/>
  <c r="Y119" i="17"/>
  <c r="Y123" i="17"/>
  <c r="Y127" i="17"/>
  <c r="Y131" i="17"/>
  <c r="Y135" i="17"/>
  <c r="Y139" i="17"/>
  <c r="Y143" i="17"/>
  <c r="Y147" i="17"/>
  <c r="Y151" i="17"/>
  <c r="Y155" i="17"/>
  <c r="Y159" i="17"/>
  <c r="Y163" i="17"/>
  <c r="Y167" i="17"/>
  <c r="Y171" i="17"/>
  <c r="Y175" i="17"/>
  <c r="Y179" i="17"/>
  <c r="Q183" i="17"/>
  <c r="Q187" i="17"/>
  <c r="Y191" i="17"/>
  <c r="Y195" i="17"/>
  <c r="Y192" i="17"/>
  <c r="Y196" i="17"/>
  <c r="Y202" i="17"/>
  <c r="Y206" i="17"/>
  <c r="Y210" i="17"/>
  <c r="Y214" i="17"/>
  <c r="Y218" i="17"/>
  <c r="Y222" i="17"/>
  <c r="Y226" i="17"/>
  <c r="Y238" i="17"/>
  <c r="Y242" i="17"/>
  <c r="Y246" i="17"/>
  <c r="Y250" i="17"/>
  <c r="Y298" i="17"/>
  <c r="Q310" i="17"/>
  <c r="Q314" i="17"/>
  <c r="Y230" i="17"/>
  <c r="Y234" i="17"/>
  <c r="Y254" i="17"/>
  <c r="Y258" i="17"/>
  <c r="Y262" i="17"/>
  <c r="Y266" i="17"/>
  <c r="Y270" i="17"/>
  <c r="Y274" i="17"/>
  <c r="Y278" i="17"/>
  <c r="Y282" i="17"/>
  <c r="Y286" i="17"/>
  <c r="Y290" i="17"/>
  <c r="Y294" i="17"/>
  <c r="Q302" i="17"/>
  <c r="Q306" i="17"/>
  <c r="Q318" i="17"/>
  <c r="Q322" i="17"/>
  <c r="Q326" i="17"/>
  <c r="Q330" i="17"/>
  <c r="Q334" i="17"/>
  <c r="Q338" i="17"/>
  <c r="Q342" i="17"/>
  <c r="Q346" i="17"/>
  <c r="Q350" i="17"/>
  <c r="Q354" i="17"/>
  <c r="Y357" i="17"/>
  <c r="Q358" i="17"/>
  <c r="Y361" i="17"/>
  <c r="Y134" i="17"/>
  <c r="Y138" i="17"/>
  <c r="Y142" i="17"/>
  <c r="Y146" i="17"/>
  <c r="Y150" i="17"/>
  <c r="Y154" i="17"/>
  <c r="Q362" i="17"/>
  <c r="Q366" i="17"/>
  <c r="Q370" i="17"/>
  <c r="Q374" i="17"/>
  <c r="Q378" i="17"/>
  <c r="Q382" i="17"/>
  <c r="Y93" i="17"/>
  <c r="Y97" i="17"/>
  <c r="Y101" i="17"/>
  <c r="Y105" i="17"/>
  <c r="Y109" i="17"/>
  <c r="Y113" i="17"/>
  <c r="Y117" i="17"/>
  <c r="Y121" i="17"/>
  <c r="Y125" i="17"/>
  <c r="Y129" i="17"/>
  <c r="Y133" i="17"/>
  <c r="Y137" i="17"/>
  <c r="Y141" i="17"/>
  <c r="Y145" i="17"/>
  <c r="Y149" i="17"/>
  <c r="Y429" i="17"/>
  <c r="Y448" i="17"/>
  <c r="Y452" i="17"/>
  <c r="Y456" i="17"/>
  <c r="Y469" i="17"/>
  <c r="Q207" i="17"/>
  <c r="Q215" i="17"/>
  <c r="Q219" i="17"/>
  <c r="Q223" i="17"/>
  <c r="Q227" i="17"/>
  <c r="Q231" i="17"/>
  <c r="Q235" i="17"/>
  <c r="Y371" i="17"/>
  <c r="Y463" i="17"/>
  <c r="Y467" i="17"/>
  <c r="Y471" i="17"/>
  <c r="Y475" i="17"/>
  <c r="Y373" i="17"/>
  <c r="Y377" i="17"/>
  <c r="Y381" i="17"/>
  <c r="Y385" i="17"/>
  <c r="Y389" i="17"/>
  <c r="Q386" i="17"/>
  <c r="Q390" i="17"/>
  <c r="Y449" i="17"/>
  <c r="Q168" i="17"/>
  <c r="Q172" i="17"/>
  <c r="Q176" i="17"/>
  <c r="Y153" i="17"/>
  <c r="Y157" i="17"/>
  <c r="Y161" i="17"/>
  <c r="Y169" i="17"/>
  <c r="Y173" i="17"/>
  <c r="Y177" i="17"/>
  <c r="Y181" i="17"/>
  <c r="Q185" i="17"/>
  <c r="Q189" i="17"/>
  <c r="Y193" i="17"/>
  <c r="Y197" i="17"/>
  <c r="Y359" i="17"/>
  <c r="Y96" i="17"/>
  <c r="Y100" i="17"/>
  <c r="Y104" i="17"/>
  <c r="Y108" i="17"/>
  <c r="Y112" i="17"/>
  <c r="Y116" i="17"/>
  <c r="Y120" i="17"/>
  <c r="Y124" i="17"/>
  <c r="Y128" i="17"/>
  <c r="Y132" i="17"/>
  <c r="Q136" i="17"/>
  <c r="Q140" i="17"/>
  <c r="Q144" i="17"/>
  <c r="Q148" i="17"/>
  <c r="Q152" i="17"/>
  <c r="Q156" i="17"/>
  <c r="Q160" i="17"/>
  <c r="Q164" i="17"/>
  <c r="Q180" i="17"/>
  <c r="Y183" i="17"/>
  <c r="Q184" i="17"/>
  <c r="Y187" i="17"/>
  <c r="Q188" i="17"/>
  <c r="Q192" i="17"/>
  <c r="Q196" i="17"/>
  <c r="Q203" i="17"/>
  <c r="Q211" i="17"/>
  <c r="Q239" i="17"/>
  <c r="Q243" i="17"/>
  <c r="Q247" i="17"/>
  <c r="Q251" i="17"/>
  <c r="Q255" i="17"/>
  <c r="Q259" i="17"/>
  <c r="Q263" i="17"/>
  <c r="Q267" i="17"/>
  <c r="Q271" i="17"/>
  <c r="Q275" i="17"/>
  <c r="Q279" i="17"/>
  <c r="Q283" i="17"/>
  <c r="Q287" i="17"/>
  <c r="Q291" i="17"/>
  <c r="Q295" i="17"/>
  <c r="Y303" i="17"/>
  <c r="Y307" i="17"/>
  <c r="Y311" i="17"/>
  <c r="Y315" i="17"/>
  <c r="Y319" i="17"/>
  <c r="Y323" i="17"/>
  <c r="Y327" i="17"/>
  <c r="Y331" i="17"/>
  <c r="Y335" i="17"/>
  <c r="Y339" i="17"/>
  <c r="Y343" i="17"/>
  <c r="Y347" i="17"/>
  <c r="Q355" i="17"/>
  <c r="Q359" i="17"/>
  <c r="Y363" i="17"/>
  <c r="Y367" i="17"/>
  <c r="Y375" i="17"/>
  <c r="Y379" i="17"/>
  <c r="Y383" i="17"/>
  <c r="Y387" i="17"/>
  <c r="Y391" i="17"/>
  <c r="Y450" i="17"/>
  <c r="Y458" i="17"/>
  <c r="N462" i="17"/>
  <c r="Y473" i="17"/>
  <c r="Y6" i="17"/>
  <c r="AA477" i="17"/>
  <c r="Y165" i="17"/>
  <c r="Y200" i="17"/>
  <c r="Y204" i="17"/>
  <c r="Y208" i="17"/>
  <c r="Y212" i="17"/>
  <c r="Y216" i="17"/>
  <c r="Y220" i="17"/>
  <c r="Y224" i="17"/>
  <c r="Y228" i="17"/>
  <c r="Y232" i="17"/>
  <c r="Y236" i="17"/>
  <c r="Y240" i="17"/>
  <c r="Y244" i="17"/>
  <c r="Y248" i="17"/>
  <c r="Y252" i="17"/>
  <c r="Y256" i="17"/>
  <c r="Y260" i="17"/>
  <c r="Y264" i="17"/>
  <c r="Y268" i="17"/>
  <c r="Y272" i="17"/>
  <c r="Y276" i="17"/>
  <c r="Y280" i="17"/>
  <c r="Y284" i="17"/>
  <c r="Y288" i="17"/>
  <c r="Y292" i="17"/>
  <c r="Y296" i="17"/>
  <c r="Q300" i="17"/>
  <c r="Q304" i="17"/>
  <c r="Q308" i="17"/>
  <c r="Q312" i="17"/>
  <c r="Q316" i="17"/>
  <c r="Q320" i="17"/>
  <c r="Q324" i="17"/>
  <c r="Q328" i="17"/>
  <c r="Q332" i="17"/>
  <c r="Q336" i="17"/>
  <c r="Q340" i="17"/>
  <c r="Q344" i="17"/>
  <c r="Q348" i="17"/>
  <c r="Q352" i="17"/>
  <c r="Q356" i="17"/>
  <c r="Q360" i="17"/>
  <c r="Q364" i="17"/>
  <c r="Q368" i="17"/>
  <c r="Q372" i="17"/>
  <c r="Q376" i="17"/>
  <c r="Q380" i="17"/>
  <c r="Q384" i="17"/>
  <c r="Q388" i="17"/>
  <c r="Q392" i="17"/>
  <c r="Y404" i="17"/>
  <c r="Y428" i="17"/>
  <c r="Y466" i="17"/>
  <c r="Y470" i="17"/>
  <c r="Y474" i="17"/>
  <c r="Y94" i="17"/>
  <c r="Y98" i="17"/>
  <c r="Y102" i="17"/>
  <c r="Y106" i="17"/>
  <c r="Y110" i="17"/>
  <c r="Y114" i="17"/>
  <c r="Y118" i="17"/>
  <c r="Y122" i="17"/>
  <c r="Y126" i="17"/>
  <c r="Y130" i="17"/>
  <c r="Q134" i="17"/>
  <c r="Q138" i="17"/>
  <c r="Q142" i="17"/>
  <c r="Q146" i="17"/>
  <c r="Q150" i="17"/>
  <c r="Q154" i="17"/>
  <c r="Q158" i="17"/>
  <c r="Q162" i="17"/>
  <c r="Q166" i="17"/>
  <c r="Q170" i="17"/>
  <c r="Q174" i="17"/>
  <c r="Q178" i="17"/>
  <c r="Q182" i="17"/>
  <c r="Y185" i="17"/>
  <c r="Q186" i="17"/>
  <c r="Y189" i="17"/>
  <c r="Y190" i="17"/>
  <c r="Q194" i="17"/>
  <c r="Q198" i="17"/>
  <c r="Q201" i="17"/>
  <c r="Q205" i="17"/>
  <c r="Q209" i="17"/>
  <c r="Q213" i="17"/>
  <c r="Q217" i="17"/>
  <c r="Q221" i="17"/>
  <c r="Q225" i="17"/>
  <c r="Q229" i="17"/>
  <c r="Q233" i="17"/>
  <c r="Q237" i="17"/>
  <c r="Q241" i="17"/>
  <c r="Q245" i="17"/>
  <c r="Q249" i="17"/>
  <c r="Q253" i="17"/>
  <c r="Q257" i="17"/>
  <c r="Q261" i="17"/>
  <c r="Q265" i="17"/>
  <c r="Q269" i="17"/>
  <c r="Q273" i="17"/>
  <c r="Q277" i="17"/>
  <c r="Q281" i="17"/>
  <c r="Q285" i="17"/>
  <c r="Q289" i="17"/>
  <c r="Q293" i="17"/>
  <c r="Q297" i="17"/>
  <c r="Y301" i="17"/>
  <c r="Y305" i="17"/>
  <c r="Y309" i="17"/>
  <c r="Y313" i="17"/>
  <c r="Y317" i="17"/>
  <c r="Y321" i="17"/>
  <c r="Y325" i="17"/>
  <c r="Y329" i="17"/>
  <c r="Y333" i="17"/>
  <c r="Y337" i="17"/>
  <c r="Y341" i="17"/>
  <c r="Y345" i="17"/>
  <c r="Y349" i="17"/>
  <c r="Y353" i="17"/>
  <c r="Q357" i="17"/>
  <c r="Q361" i="17"/>
  <c r="Y365" i="17"/>
  <c r="Y369" i="17"/>
  <c r="Y453" i="17"/>
  <c r="Y457" i="17"/>
  <c r="Y460" i="17"/>
  <c r="H462" i="17"/>
  <c r="Y468" i="17"/>
  <c r="Y472" i="17"/>
  <c r="Q6" i="17"/>
  <c r="J7" i="17"/>
  <c r="P7" i="17" s="1"/>
  <c r="Q7" i="17"/>
  <c r="Y7" i="17"/>
  <c r="J8" i="17"/>
  <c r="P8" i="17" s="1"/>
  <c r="Q8" i="17"/>
  <c r="Y8" i="17"/>
  <c r="J9" i="17"/>
  <c r="P9" i="17" s="1"/>
  <c r="Q9" i="17"/>
  <c r="Y9" i="17"/>
  <c r="J10" i="17"/>
  <c r="P10" i="17" s="1"/>
  <c r="Q10" i="17"/>
  <c r="Y10" i="17"/>
  <c r="J11" i="17"/>
  <c r="P11" i="17" s="1"/>
  <c r="Q11" i="17"/>
  <c r="Y11" i="17"/>
  <c r="J12" i="17"/>
  <c r="P12" i="17" s="1"/>
  <c r="Q12" i="17"/>
  <c r="Y12" i="17"/>
  <c r="J13" i="17"/>
  <c r="P13" i="17" s="1"/>
  <c r="Q13" i="17"/>
  <c r="Y13" i="17"/>
  <c r="J14" i="17"/>
  <c r="P14" i="17" s="1"/>
  <c r="Q14" i="17"/>
  <c r="Y14" i="17"/>
  <c r="J15" i="17"/>
  <c r="P15" i="17" s="1"/>
  <c r="Q15" i="17"/>
  <c r="Y15" i="17"/>
  <c r="J16" i="17"/>
  <c r="P16" i="17" s="1"/>
  <c r="Q16" i="17"/>
  <c r="Y16" i="17"/>
  <c r="J17" i="17"/>
  <c r="P17" i="17" s="1"/>
  <c r="Q17" i="17"/>
  <c r="Y17" i="17"/>
  <c r="J18" i="17"/>
  <c r="P18" i="17" s="1"/>
  <c r="Q18" i="17"/>
  <c r="Y18" i="17"/>
  <c r="J19" i="17"/>
  <c r="P19" i="17" s="1"/>
  <c r="Q19" i="17"/>
  <c r="Y19" i="17"/>
  <c r="J20" i="17"/>
  <c r="P20" i="17" s="1"/>
  <c r="Q20" i="17"/>
  <c r="Y20" i="17"/>
  <c r="J21" i="17"/>
  <c r="P21" i="17" s="1"/>
  <c r="Q21" i="17"/>
  <c r="Y21" i="17"/>
  <c r="J22" i="17"/>
  <c r="P22" i="17" s="1"/>
  <c r="Q22" i="17"/>
  <c r="Y22" i="17"/>
  <c r="J23" i="17"/>
  <c r="P23" i="17" s="1"/>
  <c r="Q23" i="17"/>
  <c r="Y23" i="17"/>
  <c r="J24" i="17"/>
  <c r="P24" i="17" s="1"/>
  <c r="Q24" i="17"/>
  <c r="Y24" i="17"/>
  <c r="J25" i="17"/>
  <c r="P25" i="17" s="1"/>
  <c r="Q25" i="17"/>
  <c r="Y25" i="17"/>
  <c r="J26" i="17"/>
  <c r="P26" i="17" s="1"/>
  <c r="Q26" i="17"/>
  <c r="Y26" i="17"/>
  <c r="J27" i="17"/>
  <c r="P27" i="17" s="1"/>
  <c r="Q27" i="17"/>
  <c r="Y27" i="17"/>
  <c r="J28" i="17"/>
  <c r="P28" i="17" s="1"/>
  <c r="Q28" i="17"/>
  <c r="Y28" i="17"/>
  <c r="J29" i="17"/>
  <c r="P29" i="17" s="1"/>
  <c r="Q29" i="17"/>
  <c r="Y29" i="17"/>
  <c r="J30" i="17"/>
  <c r="P30" i="17" s="1"/>
  <c r="Q30" i="17"/>
  <c r="Y30" i="17"/>
  <c r="J31" i="17"/>
  <c r="P31" i="17" s="1"/>
  <c r="Q31" i="17"/>
  <c r="Y31" i="17"/>
  <c r="J32" i="17"/>
  <c r="P32" i="17" s="1"/>
  <c r="Q32" i="17"/>
  <c r="Y32" i="17"/>
  <c r="J33" i="17"/>
  <c r="P33" i="17" s="1"/>
  <c r="Q33" i="17"/>
  <c r="Y33" i="17"/>
  <c r="J34" i="17"/>
  <c r="P34" i="17" s="1"/>
  <c r="Q34" i="17"/>
  <c r="Y34" i="17"/>
  <c r="J35" i="17"/>
  <c r="P35" i="17" s="1"/>
  <c r="Q35" i="17"/>
  <c r="Y35" i="17"/>
  <c r="J36" i="17"/>
  <c r="P36" i="17" s="1"/>
  <c r="Q36" i="17"/>
  <c r="Y36" i="17"/>
  <c r="J37" i="17"/>
  <c r="P37" i="17" s="1"/>
  <c r="Q37" i="17"/>
  <c r="Y37" i="17"/>
  <c r="J38" i="17"/>
  <c r="P38" i="17" s="1"/>
  <c r="Q38" i="17"/>
  <c r="Y38" i="17"/>
  <c r="J39" i="17"/>
  <c r="P39" i="17" s="1"/>
  <c r="Q39" i="17"/>
  <c r="Y39" i="17"/>
  <c r="J40" i="17"/>
  <c r="P40" i="17" s="1"/>
  <c r="Q40" i="17"/>
  <c r="Y40" i="17"/>
  <c r="J41" i="17"/>
  <c r="P41" i="17" s="1"/>
  <c r="Q41" i="17"/>
  <c r="Y41" i="17"/>
  <c r="J42" i="17"/>
  <c r="P42" i="17" s="1"/>
  <c r="Q42" i="17"/>
  <c r="Y42" i="17"/>
  <c r="J43" i="17"/>
  <c r="P43" i="17" s="1"/>
  <c r="Q43" i="17"/>
  <c r="Y43" i="17"/>
  <c r="J44" i="17"/>
  <c r="P44" i="17" s="1"/>
  <c r="Q44" i="17"/>
  <c r="Y44" i="17"/>
  <c r="J45" i="17"/>
  <c r="P45" i="17" s="1"/>
  <c r="Q45" i="17"/>
  <c r="Y45" i="17"/>
  <c r="J46" i="17"/>
  <c r="P46" i="17" s="1"/>
  <c r="Q46" i="17"/>
  <c r="Y46" i="17"/>
  <c r="J47" i="17"/>
  <c r="P47" i="17" s="1"/>
  <c r="Q47" i="17"/>
  <c r="Y47" i="17"/>
  <c r="J48" i="17"/>
  <c r="P48" i="17" s="1"/>
  <c r="Q48" i="17"/>
  <c r="Y48" i="17"/>
  <c r="J49" i="17"/>
  <c r="P49" i="17" s="1"/>
  <c r="Q49" i="17"/>
  <c r="Y49" i="17"/>
  <c r="J50" i="17"/>
  <c r="P50" i="17" s="1"/>
  <c r="Q50" i="17"/>
  <c r="Y50" i="17"/>
  <c r="J51" i="17"/>
  <c r="P51" i="17" s="1"/>
  <c r="Q51" i="17"/>
  <c r="Y51" i="17"/>
  <c r="J52" i="17"/>
  <c r="P52" i="17" s="1"/>
  <c r="Q52" i="17"/>
  <c r="Y52" i="17"/>
  <c r="J53" i="17"/>
  <c r="P53" i="17" s="1"/>
  <c r="Q53" i="17"/>
  <c r="Y53" i="17"/>
  <c r="J54" i="17"/>
  <c r="P54" i="17" s="1"/>
  <c r="Q54" i="17"/>
  <c r="Y54" i="17"/>
  <c r="J55" i="17"/>
  <c r="P55" i="17" s="1"/>
  <c r="Q55" i="17"/>
  <c r="Y55" i="17"/>
  <c r="J56" i="17"/>
  <c r="P56" i="17" s="1"/>
  <c r="Q56" i="17"/>
  <c r="Y56" i="17"/>
  <c r="J57" i="17"/>
  <c r="P57" i="17" s="1"/>
  <c r="Q57" i="17"/>
  <c r="Y57" i="17"/>
  <c r="J58" i="17"/>
  <c r="P58" i="17" s="1"/>
  <c r="Q58" i="17"/>
  <c r="Y58" i="17"/>
  <c r="J59" i="17"/>
  <c r="P59" i="17" s="1"/>
  <c r="Q59" i="17"/>
  <c r="Y59" i="17"/>
  <c r="J60" i="17"/>
  <c r="P60" i="17" s="1"/>
  <c r="Q60" i="17"/>
  <c r="Y60" i="17"/>
  <c r="J61" i="17"/>
  <c r="P61" i="17" s="1"/>
  <c r="Q61" i="17"/>
  <c r="Y61" i="17"/>
  <c r="J62" i="17"/>
  <c r="P62" i="17" s="1"/>
  <c r="Q62" i="17"/>
  <c r="Y62" i="17"/>
  <c r="J63" i="17"/>
  <c r="P63" i="17" s="1"/>
  <c r="Q63" i="17"/>
  <c r="Y63" i="17"/>
  <c r="J64" i="17"/>
  <c r="P64" i="17" s="1"/>
  <c r="Q64" i="17"/>
  <c r="Y64" i="17"/>
  <c r="J65" i="17"/>
  <c r="P65" i="17" s="1"/>
  <c r="Q65" i="17"/>
  <c r="Y65" i="17"/>
  <c r="J66" i="17"/>
  <c r="P66" i="17" s="1"/>
  <c r="Q66" i="17"/>
  <c r="Y66" i="17"/>
  <c r="J67" i="17"/>
  <c r="P67" i="17" s="1"/>
  <c r="Q67" i="17"/>
  <c r="Y67" i="17"/>
  <c r="J68" i="17"/>
  <c r="P68" i="17" s="1"/>
  <c r="Q68" i="17"/>
  <c r="Y68" i="17"/>
  <c r="J69" i="17"/>
  <c r="P69" i="17" s="1"/>
  <c r="Q69" i="17"/>
  <c r="Y69" i="17"/>
  <c r="J70" i="17"/>
  <c r="P70" i="17" s="1"/>
  <c r="Q70" i="17"/>
  <c r="Y70" i="17"/>
  <c r="J71" i="17"/>
  <c r="P71" i="17" s="1"/>
  <c r="Q71" i="17"/>
  <c r="Y71" i="17"/>
  <c r="J72" i="17"/>
  <c r="P72" i="17" s="1"/>
  <c r="Q72" i="17"/>
  <c r="Y72" i="17"/>
  <c r="J73" i="17"/>
  <c r="P73" i="17" s="1"/>
  <c r="Q73" i="17"/>
  <c r="Y73" i="17"/>
  <c r="J74" i="17"/>
  <c r="P74" i="17" s="1"/>
  <c r="Q74" i="17"/>
  <c r="Y74" i="17"/>
  <c r="J75" i="17"/>
  <c r="P75" i="17" s="1"/>
  <c r="Q75" i="17"/>
  <c r="Y75" i="17"/>
  <c r="J76" i="17"/>
  <c r="P76" i="17" s="1"/>
  <c r="Q76" i="17"/>
  <c r="Y76" i="17"/>
  <c r="J77" i="17"/>
  <c r="P77" i="17" s="1"/>
  <c r="Q77" i="17"/>
  <c r="Y77" i="17"/>
  <c r="J78" i="17"/>
  <c r="P78" i="17" s="1"/>
  <c r="Q78" i="17"/>
  <c r="Y78" i="17"/>
  <c r="J79" i="17"/>
  <c r="P79" i="17" s="1"/>
  <c r="Q79" i="17"/>
  <c r="Y79" i="17"/>
  <c r="Y80" i="17"/>
  <c r="J80" i="17"/>
  <c r="P80" i="17" s="1"/>
  <c r="Q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J6" i="17"/>
  <c r="P6" i="17" s="1"/>
  <c r="J135" i="17"/>
  <c r="Q135" i="17"/>
  <c r="J137" i="17"/>
  <c r="Q137" i="17"/>
  <c r="J139" i="17"/>
  <c r="Q139" i="17"/>
  <c r="J141" i="17"/>
  <c r="Q141" i="17"/>
  <c r="J143" i="17"/>
  <c r="Q143" i="17"/>
  <c r="J145" i="17"/>
  <c r="Q145" i="17"/>
  <c r="J147" i="17"/>
  <c r="Q147" i="17"/>
  <c r="J149" i="17"/>
  <c r="Q149" i="17"/>
  <c r="J151" i="17"/>
  <c r="Q151" i="17"/>
  <c r="J153" i="17"/>
  <c r="P153" i="17" s="1"/>
  <c r="Q153" i="17"/>
  <c r="J155" i="17"/>
  <c r="P155" i="17" s="1"/>
  <c r="Q155" i="17"/>
  <c r="J157" i="17"/>
  <c r="P157" i="17" s="1"/>
  <c r="Q157" i="17"/>
  <c r="J159" i="17"/>
  <c r="P159" i="17" s="1"/>
  <c r="Q159" i="17"/>
  <c r="J161" i="17"/>
  <c r="Q161" i="17"/>
  <c r="J163" i="17"/>
  <c r="P163" i="17" s="1"/>
  <c r="Q163" i="17"/>
  <c r="Y164" i="17"/>
  <c r="J165" i="17"/>
  <c r="P165" i="17" s="1"/>
  <c r="Q165" i="17"/>
  <c r="Y166" i="17"/>
  <c r="J167" i="17"/>
  <c r="P167" i="17" s="1"/>
  <c r="Q167" i="17"/>
  <c r="Y168" i="17"/>
  <c r="J169" i="17"/>
  <c r="P169" i="17" s="1"/>
  <c r="Q169" i="17"/>
  <c r="Y170" i="17"/>
  <c r="J171" i="17"/>
  <c r="P171" i="17" s="1"/>
  <c r="Q171" i="17"/>
  <c r="Y172" i="17"/>
  <c r="J173" i="17"/>
  <c r="P173" i="17" s="1"/>
  <c r="Q173" i="17"/>
  <c r="Y174" i="17"/>
  <c r="J175" i="17"/>
  <c r="P175" i="17" s="1"/>
  <c r="Q175" i="17"/>
  <c r="Y176" i="17"/>
  <c r="J177" i="17"/>
  <c r="P177" i="17" s="1"/>
  <c r="Q177" i="17"/>
  <c r="Y178" i="17"/>
  <c r="J179" i="17"/>
  <c r="P179" i="17" s="1"/>
  <c r="Q179" i="17"/>
  <c r="Y180" i="17"/>
  <c r="J181" i="17"/>
  <c r="P181" i="17" s="1"/>
  <c r="Q181" i="17"/>
  <c r="Y182" i="17"/>
  <c r="J183" i="17"/>
  <c r="P183" i="17" s="1"/>
  <c r="Y184" i="17"/>
  <c r="J185" i="17"/>
  <c r="P185" i="17" s="1"/>
  <c r="Y186" i="17"/>
  <c r="J187" i="17"/>
  <c r="P187" i="17" s="1"/>
  <c r="Y188" i="17"/>
  <c r="J189" i="17"/>
  <c r="P189" i="17" s="1"/>
  <c r="J81" i="17"/>
  <c r="P81" i="17" s="1"/>
  <c r="Q81" i="17"/>
  <c r="J82" i="17"/>
  <c r="P82" i="17" s="1"/>
  <c r="Q82" i="17"/>
  <c r="J83" i="17"/>
  <c r="P83" i="17" s="1"/>
  <c r="Q83" i="17"/>
  <c r="J84" i="17"/>
  <c r="P84" i="17" s="1"/>
  <c r="Q84" i="17"/>
  <c r="J85" i="17"/>
  <c r="P85" i="17" s="1"/>
  <c r="Q85" i="17"/>
  <c r="J86" i="17"/>
  <c r="P86" i="17" s="1"/>
  <c r="Q86" i="17"/>
  <c r="J87" i="17"/>
  <c r="P87" i="17" s="1"/>
  <c r="Q87" i="17"/>
  <c r="J88" i="17"/>
  <c r="P88" i="17" s="1"/>
  <c r="Q88" i="17"/>
  <c r="J89" i="17"/>
  <c r="P89" i="17" s="1"/>
  <c r="Q89" i="17"/>
  <c r="J90" i="17"/>
  <c r="P90" i="17" s="1"/>
  <c r="Q90" i="17"/>
  <c r="J91" i="17"/>
  <c r="P91" i="17" s="1"/>
  <c r="Q91" i="17"/>
  <c r="J92" i="17"/>
  <c r="P92" i="17" s="1"/>
  <c r="Q92" i="17"/>
  <c r="J93" i="17"/>
  <c r="P93" i="17" s="1"/>
  <c r="Q93" i="17"/>
  <c r="J94" i="17"/>
  <c r="P94" i="17" s="1"/>
  <c r="Q94" i="17"/>
  <c r="J95" i="17"/>
  <c r="P95" i="17" s="1"/>
  <c r="Q95" i="17"/>
  <c r="J96" i="17"/>
  <c r="P96" i="17" s="1"/>
  <c r="Q96" i="17"/>
  <c r="J97" i="17"/>
  <c r="P97" i="17" s="1"/>
  <c r="Q97" i="17"/>
  <c r="J98" i="17"/>
  <c r="P98" i="17" s="1"/>
  <c r="Q98" i="17"/>
  <c r="J99" i="17"/>
  <c r="P99" i="17" s="1"/>
  <c r="Q99" i="17"/>
  <c r="J100" i="17"/>
  <c r="P100" i="17" s="1"/>
  <c r="Q100" i="17"/>
  <c r="J101" i="17"/>
  <c r="P101" i="17" s="1"/>
  <c r="Q101" i="17"/>
  <c r="J102" i="17"/>
  <c r="P102" i="17" s="1"/>
  <c r="Q102" i="17"/>
  <c r="J103" i="17"/>
  <c r="P103" i="17" s="1"/>
  <c r="Q103" i="17"/>
  <c r="J104" i="17"/>
  <c r="P104" i="17" s="1"/>
  <c r="Q104" i="17"/>
  <c r="J105" i="17"/>
  <c r="P105" i="17" s="1"/>
  <c r="Q105" i="17"/>
  <c r="J106" i="17"/>
  <c r="P106" i="17" s="1"/>
  <c r="Q106" i="17"/>
  <c r="J107" i="17"/>
  <c r="P107" i="17" s="1"/>
  <c r="Q107" i="17"/>
  <c r="J108" i="17"/>
  <c r="P108" i="17" s="1"/>
  <c r="Q108" i="17"/>
  <c r="J109" i="17"/>
  <c r="P109" i="17" s="1"/>
  <c r="Q109" i="17"/>
  <c r="J110" i="17"/>
  <c r="P110" i="17" s="1"/>
  <c r="Q110" i="17"/>
  <c r="J111" i="17"/>
  <c r="P111" i="17" s="1"/>
  <c r="Q111" i="17"/>
  <c r="J112" i="17"/>
  <c r="P112" i="17" s="1"/>
  <c r="Q112" i="17"/>
  <c r="J113" i="17"/>
  <c r="P113" i="17" s="1"/>
  <c r="Q113" i="17"/>
  <c r="J114" i="17"/>
  <c r="P114" i="17" s="1"/>
  <c r="Q114" i="17"/>
  <c r="J115" i="17"/>
  <c r="P115" i="17" s="1"/>
  <c r="Q115" i="17"/>
  <c r="J116" i="17"/>
  <c r="P116" i="17" s="1"/>
  <c r="Q116" i="17"/>
  <c r="J117" i="17"/>
  <c r="P117" i="17" s="1"/>
  <c r="Q117" i="17"/>
  <c r="J118" i="17"/>
  <c r="P118" i="17" s="1"/>
  <c r="Q118" i="17"/>
  <c r="J119" i="17"/>
  <c r="P119" i="17" s="1"/>
  <c r="Q119" i="17"/>
  <c r="J120" i="17"/>
  <c r="P120" i="17" s="1"/>
  <c r="Q120" i="17"/>
  <c r="J121" i="17"/>
  <c r="P121" i="17" s="1"/>
  <c r="Q121" i="17"/>
  <c r="J122" i="17"/>
  <c r="P122" i="17" s="1"/>
  <c r="Q122" i="17"/>
  <c r="J123" i="17"/>
  <c r="P123" i="17" s="1"/>
  <c r="Q123" i="17"/>
  <c r="J124" i="17"/>
  <c r="P124" i="17" s="1"/>
  <c r="Q124" i="17"/>
  <c r="J125" i="17"/>
  <c r="P125" i="17" s="1"/>
  <c r="Q125" i="17"/>
  <c r="J126" i="17"/>
  <c r="P126" i="17" s="1"/>
  <c r="Q126" i="17"/>
  <c r="J127" i="17"/>
  <c r="P127" i="17" s="1"/>
  <c r="Q127" i="17"/>
  <c r="J128" i="17"/>
  <c r="P128" i="17" s="1"/>
  <c r="Q128" i="17"/>
  <c r="J129" i="17"/>
  <c r="P129" i="17" s="1"/>
  <c r="Q129" i="17"/>
  <c r="J130" i="17"/>
  <c r="P130" i="17" s="1"/>
  <c r="Q130" i="17"/>
  <c r="J131" i="17"/>
  <c r="P131" i="17" s="1"/>
  <c r="Q131" i="17"/>
  <c r="J132" i="17"/>
  <c r="P132" i="17" s="1"/>
  <c r="Q132" i="17"/>
  <c r="J133" i="17"/>
  <c r="P133" i="17" s="1"/>
  <c r="Q133" i="17"/>
  <c r="J134" i="17"/>
  <c r="P134" i="17" s="1"/>
  <c r="P135" i="17"/>
  <c r="J136" i="17"/>
  <c r="P136" i="17" s="1"/>
  <c r="P137" i="17"/>
  <c r="J138" i="17"/>
  <c r="P138" i="17" s="1"/>
  <c r="P139" i="17"/>
  <c r="J140" i="17"/>
  <c r="P140" i="17" s="1"/>
  <c r="P141" i="17"/>
  <c r="J142" i="17"/>
  <c r="P142" i="17" s="1"/>
  <c r="P143" i="17"/>
  <c r="J144" i="17"/>
  <c r="P144" i="17" s="1"/>
  <c r="P145" i="17"/>
  <c r="J146" i="17"/>
  <c r="P146" i="17" s="1"/>
  <c r="P147" i="17"/>
  <c r="J148" i="17"/>
  <c r="P148" i="17" s="1"/>
  <c r="P149" i="17"/>
  <c r="J150" i="17"/>
  <c r="P150" i="17" s="1"/>
  <c r="P151" i="17"/>
  <c r="J152" i="17"/>
  <c r="P152" i="17" s="1"/>
  <c r="J154" i="17"/>
  <c r="P154" i="17" s="1"/>
  <c r="J156" i="17"/>
  <c r="P156" i="17" s="1"/>
  <c r="J158" i="17"/>
  <c r="P158" i="17" s="1"/>
  <c r="J160" i="17"/>
  <c r="P160" i="17" s="1"/>
  <c r="P161" i="17"/>
  <c r="J162" i="17"/>
  <c r="P162" i="17" s="1"/>
  <c r="J164" i="17"/>
  <c r="P164" i="17" s="1"/>
  <c r="J166" i="17"/>
  <c r="P166" i="17" s="1"/>
  <c r="J168" i="17"/>
  <c r="P168" i="17" s="1"/>
  <c r="J170" i="17"/>
  <c r="P170" i="17" s="1"/>
  <c r="J172" i="17"/>
  <c r="P172" i="17" s="1"/>
  <c r="J174" i="17"/>
  <c r="P174" i="17" s="1"/>
  <c r="J176" i="17"/>
  <c r="P176" i="17" s="1"/>
  <c r="J178" i="17"/>
  <c r="P178" i="17" s="1"/>
  <c r="J180" i="17"/>
  <c r="P180" i="17" s="1"/>
  <c r="J182" i="17"/>
  <c r="P182" i="17" s="1"/>
  <c r="J184" i="17"/>
  <c r="P184" i="17" s="1"/>
  <c r="J186" i="17"/>
  <c r="P186" i="17" s="1"/>
  <c r="J188" i="17"/>
  <c r="P188" i="17" s="1"/>
  <c r="J190" i="17"/>
  <c r="P190" i="17" s="1"/>
  <c r="Q190" i="17"/>
  <c r="J191" i="17"/>
  <c r="P191" i="17" s="1"/>
  <c r="Q191" i="17"/>
  <c r="J193" i="17"/>
  <c r="P193" i="17" s="1"/>
  <c r="Q193" i="17"/>
  <c r="J195" i="17"/>
  <c r="P195" i="17" s="1"/>
  <c r="Q195" i="17"/>
  <c r="J197" i="17"/>
  <c r="P197" i="17" s="1"/>
  <c r="Q197" i="17"/>
  <c r="I199" i="17"/>
  <c r="L199" i="17"/>
  <c r="J200" i="17"/>
  <c r="P200" i="17" s="1"/>
  <c r="Q200" i="17"/>
  <c r="Y201" i="17"/>
  <c r="J202" i="17"/>
  <c r="P202" i="17" s="1"/>
  <c r="Q202" i="17"/>
  <c r="Y203" i="17"/>
  <c r="J204" i="17"/>
  <c r="P204" i="17" s="1"/>
  <c r="Q204" i="17"/>
  <c r="Y205" i="17"/>
  <c r="J206" i="17"/>
  <c r="P206" i="17" s="1"/>
  <c r="Q206" i="17"/>
  <c r="Y207" i="17"/>
  <c r="J208" i="17"/>
  <c r="P208" i="17" s="1"/>
  <c r="Q208" i="17"/>
  <c r="Y209" i="17"/>
  <c r="J210" i="17"/>
  <c r="P210" i="17" s="1"/>
  <c r="Q210" i="17"/>
  <c r="Y211" i="17"/>
  <c r="J212" i="17"/>
  <c r="P212" i="17" s="1"/>
  <c r="Q212" i="17"/>
  <c r="Y213" i="17"/>
  <c r="J214" i="17"/>
  <c r="P214" i="17" s="1"/>
  <c r="Q214" i="17"/>
  <c r="Y215" i="17"/>
  <c r="J216" i="17"/>
  <c r="P216" i="17" s="1"/>
  <c r="Q216" i="17"/>
  <c r="Y217" i="17"/>
  <c r="J218" i="17"/>
  <c r="P218" i="17" s="1"/>
  <c r="Q218" i="17"/>
  <c r="Y219" i="17"/>
  <c r="J220" i="17"/>
  <c r="P220" i="17" s="1"/>
  <c r="Q220" i="17"/>
  <c r="Y221" i="17"/>
  <c r="J222" i="17"/>
  <c r="P222" i="17" s="1"/>
  <c r="Q222" i="17"/>
  <c r="Y223" i="17"/>
  <c r="J224" i="17"/>
  <c r="P224" i="17" s="1"/>
  <c r="Q224" i="17"/>
  <c r="Y225" i="17"/>
  <c r="J226" i="17"/>
  <c r="P226" i="17" s="1"/>
  <c r="Q226" i="17"/>
  <c r="Y227" i="17"/>
  <c r="J228" i="17"/>
  <c r="P228" i="17" s="1"/>
  <c r="Q228" i="17"/>
  <c r="Y229" i="17"/>
  <c r="J230" i="17"/>
  <c r="P230" i="17" s="1"/>
  <c r="Q230" i="17"/>
  <c r="Y231" i="17"/>
  <c r="J232" i="17"/>
  <c r="P232" i="17" s="1"/>
  <c r="Q232" i="17"/>
  <c r="Y233" i="17"/>
  <c r="J234" i="17"/>
  <c r="P234" i="17" s="1"/>
  <c r="Q234" i="17"/>
  <c r="Y235" i="17"/>
  <c r="J236" i="17"/>
  <c r="P236" i="17" s="1"/>
  <c r="Q236" i="17"/>
  <c r="Y237" i="17"/>
  <c r="J238" i="17"/>
  <c r="P238" i="17" s="1"/>
  <c r="Q238" i="17"/>
  <c r="Y239" i="17"/>
  <c r="J240" i="17"/>
  <c r="P240" i="17" s="1"/>
  <c r="Q240" i="17"/>
  <c r="Y241" i="17"/>
  <c r="J242" i="17"/>
  <c r="P242" i="17" s="1"/>
  <c r="Q242" i="17"/>
  <c r="Y243" i="17"/>
  <c r="J244" i="17"/>
  <c r="P244" i="17" s="1"/>
  <c r="Q244" i="17"/>
  <c r="Y245" i="17"/>
  <c r="J246" i="17"/>
  <c r="P246" i="17" s="1"/>
  <c r="Q246" i="17"/>
  <c r="Y247" i="17"/>
  <c r="J248" i="17"/>
  <c r="P248" i="17" s="1"/>
  <c r="Q248" i="17"/>
  <c r="Y249" i="17"/>
  <c r="J250" i="17"/>
  <c r="P250" i="17" s="1"/>
  <c r="Q250" i="17"/>
  <c r="Y251" i="17"/>
  <c r="J252" i="17"/>
  <c r="P252" i="17" s="1"/>
  <c r="Q252" i="17"/>
  <c r="Y253" i="17"/>
  <c r="J254" i="17"/>
  <c r="P254" i="17" s="1"/>
  <c r="Q254" i="17"/>
  <c r="Y255" i="17"/>
  <c r="J256" i="17"/>
  <c r="P256" i="17" s="1"/>
  <c r="Q256" i="17"/>
  <c r="Y257" i="17"/>
  <c r="J258" i="17"/>
  <c r="P258" i="17" s="1"/>
  <c r="Q258" i="17"/>
  <c r="Y259" i="17"/>
  <c r="J260" i="17"/>
  <c r="P260" i="17" s="1"/>
  <c r="Q260" i="17"/>
  <c r="Y261" i="17"/>
  <c r="J262" i="17"/>
  <c r="P262" i="17" s="1"/>
  <c r="Q262" i="17"/>
  <c r="Y263" i="17"/>
  <c r="J264" i="17"/>
  <c r="P264" i="17" s="1"/>
  <c r="Q264" i="17"/>
  <c r="Y265" i="17"/>
  <c r="J266" i="17"/>
  <c r="P266" i="17" s="1"/>
  <c r="Q266" i="17"/>
  <c r="Y267" i="17"/>
  <c r="J268" i="17"/>
  <c r="P268" i="17" s="1"/>
  <c r="Q268" i="17"/>
  <c r="Y269" i="17"/>
  <c r="J270" i="17"/>
  <c r="P270" i="17" s="1"/>
  <c r="Q270" i="17"/>
  <c r="Y271" i="17"/>
  <c r="J272" i="17"/>
  <c r="P272" i="17" s="1"/>
  <c r="Q272" i="17"/>
  <c r="Y273" i="17"/>
  <c r="J274" i="17"/>
  <c r="P274" i="17" s="1"/>
  <c r="Q274" i="17"/>
  <c r="Y275" i="17"/>
  <c r="J276" i="17"/>
  <c r="P276" i="17" s="1"/>
  <c r="Q276" i="17"/>
  <c r="Y277" i="17"/>
  <c r="J278" i="17"/>
  <c r="P278" i="17" s="1"/>
  <c r="Q278" i="17"/>
  <c r="Y279" i="17"/>
  <c r="J280" i="17"/>
  <c r="P280" i="17" s="1"/>
  <c r="Q280" i="17"/>
  <c r="Y281" i="17"/>
  <c r="J282" i="17"/>
  <c r="P282" i="17" s="1"/>
  <c r="Q282" i="17"/>
  <c r="Y283" i="17"/>
  <c r="J284" i="17"/>
  <c r="P284" i="17" s="1"/>
  <c r="Q284" i="17"/>
  <c r="Y285" i="17"/>
  <c r="J286" i="17"/>
  <c r="P286" i="17" s="1"/>
  <c r="Q286" i="17"/>
  <c r="Y287" i="17"/>
  <c r="J288" i="17"/>
  <c r="P288" i="17" s="1"/>
  <c r="Q288" i="17"/>
  <c r="Y289" i="17"/>
  <c r="J290" i="17"/>
  <c r="P290" i="17" s="1"/>
  <c r="Q290" i="17"/>
  <c r="Y291" i="17"/>
  <c r="J292" i="17"/>
  <c r="P292" i="17" s="1"/>
  <c r="Q292" i="17"/>
  <c r="Y293" i="17"/>
  <c r="J294" i="17"/>
  <c r="P294" i="17" s="1"/>
  <c r="Q294" i="17"/>
  <c r="Y295" i="17"/>
  <c r="J296" i="17"/>
  <c r="P296" i="17" s="1"/>
  <c r="Q296" i="17"/>
  <c r="Y297" i="17"/>
  <c r="J298" i="17"/>
  <c r="P298" i="17" s="1"/>
  <c r="Q298" i="17"/>
  <c r="J192" i="17"/>
  <c r="P192" i="17" s="1"/>
  <c r="J194" i="17"/>
  <c r="P194" i="17" s="1"/>
  <c r="J196" i="17"/>
  <c r="P196" i="17" s="1"/>
  <c r="J198" i="17"/>
  <c r="P198" i="17" s="1"/>
  <c r="H199" i="17"/>
  <c r="N199" i="17"/>
  <c r="J201" i="17"/>
  <c r="P201" i="17" s="1"/>
  <c r="J203" i="17"/>
  <c r="P203" i="17" s="1"/>
  <c r="J205" i="17"/>
  <c r="P205" i="17" s="1"/>
  <c r="J207" i="17"/>
  <c r="P207" i="17" s="1"/>
  <c r="J209" i="17"/>
  <c r="P209" i="17" s="1"/>
  <c r="J211" i="17"/>
  <c r="P211" i="17" s="1"/>
  <c r="J213" i="17"/>
  <c r="P213" i="17" s="1"/>
  <c r="J215" i="17"/>
  <c r="P215" i="17" s="1"/>
  <c r="J217" i="17"/>
  <c r="P217" i="17" s="1"/>
  <c r="J219" i="17"/>
  <c r="P219" i="17" s="1"/>
  <c r="J221" i="17"/>
  <c r="P221" i="17" s="1"/>
  <c r="J223" i="17"/>
  <c r="P223" i="17" s="1"/>
  <c r="J225" i="17"/>
  <c r="P225" i="17" s="1"/>
  <c r="J227" i="17"/>
  <c r="P227" i="17" s="1"/>
  <c r="J229" i="17"/>
  <c r="P229" i="17" s="1"/>
  <c r="J231" i="17"/>
  <c r="P231" i="17" s="1"/>
  <c r="J233" i="17"/>
  <c r="P233" i="17" s="1"/>
  <c r="J235" i="17"/>
  <c r="P235" i="17" s="1"/>
  <c r="J237" i="17"/>
  <c r="P237" i="17" s="1"/>
  <c r="J239" i="17"/>
  <c r="P239" i="17" s="1"/>
  <c r="J241" i="17"/>
  <c r="P241" i="17" s="1"/>
  <c r="J243" i="17"/>
  <c r="P243" i="17" s="1"/>
  <c r="J245" i="17"/>
  <c r="P245" i="17" s="1"/>
  <c r="J247" i="17"/>
  <c r="P247" i="17" s="1"/>
  <c r="J249" i="17"/>
  <c r="P249" i="17" s="1"/>
  <c r="J251" i="17"/>
  <c r="P251" i="17" s="1"/>
  <c r="J253" i="17"/>
  <c r="P253" i="17" s="1"/>
  <c r="J255" i="17"/>
  <c r="P255" i="17" s="1"/>
  <c r="J257" i="17"/>
  <c r="P257" i="17" s="1"/>
  <c r="J259" i="17"/>
  <c r="P259" i="17" s="1"/>
  <c r="J261" i="17"/>
  <c r="P261" i="17" s="1"/>
  <c r="J263" i="17"/>
  <c r="P263" i="17" s="1"/>
  <c r="J265" i="17"/>
  <c r="P265" i="17" s="1"/>
  <c r="J267" i="17"/>
  <c r="P267" i="17" s="1"/>
  <c r="J269" i="17"/>
  <c r="P269" i="17" s="1"/>
  <c r="J271" i="17"/>
  <c r="P271" i="17" s="1"/>
  <c r="J273" i="17"/>
  <c r="P273" i="17" s="1"/>
  <c r="J275" i="17"/>
  <c r="P275" i="17" s="1"/>
  <c r="J277" i="17"/>
  <c r="P277" i="17" s="1"/>
  <c r="J279" i="17"/>
  <c r="P279" i="17" s="1"/>
  <c r="J281" i="17"/>
  <c r="P281" i="17" s="1"/>
  <c r="J283" i="17"/>
  <c r="P283" i="17" s="1"/>
  <c r="J285" i="17"/>
  <c r="P285" i="17" s="1"/>
  <c r="J287" i="17"/>
  <c r="P287" i="17" s="1"/>
  <c r="J289" i="17"/>
  <c r="P289" i="17" s="1"/>
  <c r="J291" i="17"/>
  <c r="P291" i="17" s="1"/>
  <c r="J293" i="17"/>
  <c r="P293" i="17" s="1"/>
  <c r="J295" i="17"/>
  <c r="P295" i="17" s="1"/>
  <c r="J297" i="17"/>
  <c r="P297" i="17" s="1"/>
  <c r="Y299" i="17"/>
  <c r="Q299" i="17"/>
  <c r="J299" i="17"/>
  <c r="P299" i="17" s="1"/>
  <c r="Y300" i="17"/>
  <c r="J301" i="17"/>
  <c r="P301" i="17" s="1"/>
  <c r="Q301" i="17"/>
  <c r="Y302" i="17"/>
  <c r="J303" i="17"/>
  <c r="P303" i="17" s="1"/>
  <c r="Q303" i="17"/>
  <c r="Y304" i="17"/>
  <c r="J305" i="17"/>
  <c r="P305" i="17" s="1"/>
  <c r="Q305" i="17"/>
  <c r="Y306" i="17"/>
  <c r="J307" i="17"/>
  <c r="P307" i="17" s="1"/>
  <c r="Q307" i="17"/>
  <c r="Y308" i="17"/>
  <c r="J309" i="17"/>
  <c r="P309" i="17" s="1"/>
  <c r="Q309" i="17"/>
  <c r="Y310" i="17"/>
  <c r="J311" i="17"/>
  <c r="P311" i="17" s="1"/>
  <c r="Q311" i="17"/>
  <c r="Y312" i="17"/>
  <c r="J313" i="17"/>
  <c r="P313" i="17" s="1"/>
  <c r="Q313" i="17"/>
  <c r="Y314" i="17"/>
  <c r="J315" i="17"/>
  <c r="P315" i="17" s="1"/>
  <c r="Q315" i="17"/>
  <c r="Y316" i="17"/>
  <c r="J317" i="17"/>
  <c r="P317" i="17" s="1"/>
  <c r="Q317" i="17"/>
  <c r="Y318" i="17"/>
  <c r="J319" i="17"/>
  <c r="P319" i="17" s="1"/>
  <c r="Q319" i="17"/>
  <c r="Y320" i="17"/>
  <c r="J321" i="17"/>
  <c r="P321" i="17" s="1"/>
  <c r="Q321" i="17"/>
  <c r="Y322" i="17"/>
  <c r="J323" i="17"/>
  <c r="P323" i="17" s="1"/>
  <c r="Q323" i="17"/>
  <c r="Y324" i="17"/>
  <c r="J325" i="17"/>
  <c r="P325" i="17" s="1"/>
  <c r="Q325" i="17"/>
  <c r="Y326" i="17"/>
  <c r="J327" i="17"/>
  <c r="P327" i="17" s="1"/>
  <c r="Q327" i="17"/>
  <c r="Y328" i="17"/>
  <c r="J329" i="17"/>
  <c r="P329" i="17" s="1"/>
  <c r="Q329" i="17"/>
  <c r="Y330" i="17"/>
  <c r="J331" i="17"/>
  <c r="P331" i="17" s="1"/>
  <c r="Q331" i="17"/>
  <c r="Y332" i="17"/>
  <c r="J333" i="17"/>
  <c r="P333" i="17" s="1"/>
  <c r="Q333" i="17"/>
  <c r="Y334" i="17"/>
  <c r="J335" i="17"/>
  <c r="P335" i="17" s="1"/>
  <c r="Q335" i="17"/>
  <c r="Y336" i="17"/>
  <c r="J337" i="17"/>
  <c r="P337" i="17" s="1"/>
  <c r="Q337" i="17"/>
  <c r="Y338" i="17"/>
  <c r="J339" i="17"/>
  <c r="P339" i="17" s="1"/>
  <c r="Q339" i="17"/>
  <c r="Y340" i="17"/>
  <c r="J341" i="17"/>
  <c r="P341" i="17" s="1"/>
  <c r="Q341" i="17"/>
  <c r="Y342" i="17"/>
  <c r="J343" i="17"/>
  <c r="P343" i="17" s="1"/>
  <c r="Q343" i="17"/>
  <c r="Y344" i="17"/>
  <c r="J345" i="17"/>
  <c r="P345" i="17" s="1"/>
  <c r="Q345" i="17"/>
  <c r="Y346" i="17"/>
  <c r="J347" i="17"/>
  <c r="P347" i="17" s="1"/>
  <c r="Q347" i="17"/>
  <c r="Y348" i="17"/>
  <c r="J349" i="17"/>
  <c r="P349" i="17" s="1"/>
  <c r="Q349" i="17"/>
  <c r="Y350" i="17"/>
  <c r="Y351" i="17"/>
  <c r="J351" i="17"/>
  <c r="P351" i="17" s="1"/>
  <c r="Q351" i="17"/>
  <c r="J300" i="17"/>
  <c r="P300" i="17" s="1"/>
  <c r="J302" i="17"/>
  <c r="P302" i="17" s="1"/>
  <c r="J304" i="17"/>
  <c r="P304" i="17" s="1"/>
  <c r="J306" i="17"/>
  <c r="P306" i="17" s="1"/>
  <c r="J308" i="17"/>
  <c r="P308" i="17" s="1"/>
  <c r="J310" i="17"/>
  <c r="P310" i="17" s="1"/>
  <c r="J312" i="17"/>
  <c r="P312" i="17" s="1"/>
  <c r="J314" i="17"/>
  <c r="P314" i="17" s="1"/>
  <c r="J316" i="17"/>
  <c r="P316" i="17" s="1"/>
  <c r="J318" i="17"/>
  <c r="P318" i="17" s="1"/>
  <c r="J320" i="17"/>
  <c r="P320" i="17" s="1"/>
  <c r="J322" i="17"/>
  <c r="P322" i="17" s="1"/>
  <c r="J324" i="17"/>
  <c r="P324" i="17" s="1"/>
  <c r="J326" i="17"/>
  <c r="P326" i="17" s="1"/>
  <c r="J328" i="17"/>
  <c r="P328" i="17" s="1"/>
  <c r="J330" i="17"/>
  <c r="P330" i="17" s="1"/>
  <c r="J332" i="17"/>
  <c r="P332" i="17" s="1"/>
  <c r="J334" i="17"/>
  <c r="P334" i="17" s="1"/>
  <c r="J336" i="17"/>
  <c r="P336" i="17" s="1"/>
  <c r="J338" i="17"/>
  <c r="P338" i="17" s="1"/>
  <c r="J340" i="17"/>
  <c r="P340" i="17" s="1"/>
  <c r="J342" i="17"/>
  <c r="P342" i="17" s="1"/>
  <c r="J344" i="17"/>
  <c r="P344" i="17" s="1"/>
  <c r="J346" i="17"/>
  <c r="P346" i="17" s="1"/>
  <c r="J348" i="17"/>
  <c r="P348" i="17" s="1"/>
  <c r="J350" i="17"/>
  <c r="P350" i="17" s="1"/>
  <c r="Y352" i="17"/>
  <c r="J353" i="17"/>
  <c r="P353" i="17" s="1"/>
  <c r="Q353" i="17"/>
  <c r="Y354" i="17"/>
  <c r="J355" i="17"/>
  <c r="P355" i="17" s="1"/>
  <c r="Y356" i="17"/>
  <c r="J357" i="17"/>
  <c r="P357" i="17" s="1"/>
  <c r="Y358" i="17"/>
  <c r="J359" i="17"/>
  <c r="P359" i="17" s="1"/>
  <c r="Y360" i="17"/>
  <c r="J361" i="17"/>
  <c r="P361" i="17" s="1"/>
  <c r="Y362" i="17"/>
  <c r="J363" i="17"/>
  <c r="P363" i="17" s="1"/>
  <c r="Q363" i="17"/>
  <c r="Y364" i="17"/>
  <c r="J365" i="17"/>
  <c r="P365" i="17" s="1"/>
  <c r="Q365" i="17"/>
  <c r="Y366" i="17"/>
  <c r="J367" i="17"/>
  <c r="P367" i="17" s="1"/>
  <c r="Q367" i="17"/>
  <c r="Y368" i="17"/>
  <c r="J369" i="17"/>
  <c r="P369" i="17" s="1"/>
  <c r="Q369" i="17"/>
  <c r="Y370" i="17"/>
  <c r="J371" i="17"/>
  <c r="P371" i="17" s="1"/>
  <c r="Q371" i="17"/>
  <c r="Y372" i="17"/>
  <c r="J373" i="17"/>
  <c r="P373" i="17" s="1"/>
  <c r="Q373" i="17"/>
  <c r="Y374" i="17"/>
  <c r="J375" i="17"/>
  <c r="P375" i="17" s="1"/>
  <c r="Q375" i="17"/>
  <c r="Y376" i="17"/>
  <c r="J377" i="17"/>
  <c r="P377" i="17" s="1"/>
  <c r="Q377" i="17"/>
  <c r="Y378" i="17"/>
  <c r="J379" i="17"/>
  <c r="P379" i="17" s="1"/>
  <c r="Q379" i="17"/>
  <c r="Y380" i="17"/>
  <c r="J381" i="17"/>
  <c r="P381" i="17" s="1"/>
  <c r="Q381" i="17"/>
  <c r="Y382" i="17"/>
  <c r="J383" i="17"/>
  <c r="P383" i="17" s="1"/>
  <c r="Q383" i="17"/>
  <c r="Y384" i="17"/>
  <c r="J385" i="17"/>
  <c r="P385" i="17" s="1"/>
  <c r="Q385" i="17"/>
  <c r="Y386" i="17"/>
  <c r="J387" i="17"/>
  <c r="P387" i="17" s="1"/>
  <c r="Q387" i="17"/>
  <c r="Y388" i="17"/>
  <c r="J389" i="17"/>
  <c r="P389" i="17" s="1"/>
  <c r="Q389" i="17"/>
  <c r="Y390" i="17"/>
  <c r="J391" i="17"/>
  <c r="P391" i="17" s="1"/>
  <c r="Q391" i="17"/>
  <c r="Y392" i="17"/>
  <c r="J393" i="17"/>
  <c r="P393" i="17" s="1"/>
  <c r="Q393" i="17"/>
  <c r="Y393" i="17"/>
  <c r="J394" i="17"/>
  <c r="P394" i="17" s="1"/>
  <c r="Q394" i="17"/>
  <c r="Y394" i="17"/>
  <c r="J395" i="17"/>
  <c r="P395" i="17" s="1"/>
  <c r="Q395" i="17"/>
  <c r="Y395" i="17"/>
  <c r="J396" i="17"/>
  <c r="P396" i="17" s="1"/>
  <c r="Q396" i="17"/>
  <c r="Y396" i="17"/>
  <c r="J397" i="17"/>
  <c r="P397" i="17" s="1"/>
  <c r="Q397" i="17"/>
  <c r="Y397" i="17"/>
  <c r="J398" i="17"/>
  <c r="P398" i="17" s="1"/>
  <c r="Q398" i="17"/>
  <c r="Y398" i="17"/>
  <c r="J399" i="17"/>
  <c r="P399" i="17" s="1"/>
  <c r="Q399" i="17"/>
  <c r="Y399" i="17"/>
  <c r="J400" i="17"/>
  <c r="P400" i="17" s="1"/>
  <c r="Q400" i="17"/>
  <c r="Y400" i="17"/>
  <c r="J401" i="17"/>
  <c r="P401" i="17" s="1"/>
  <c r="Q401" i="17"/>
  <c r="Y401" i="17"/>
  <c r="J402" i="17"/>
  <c r="P402" i="17" s="1"/>
  <c r="Q402" i="17"/>
  <c r="Y402" i="17"/>
  <c r="J403" i="17"/>
  <c r="P403" i="17" s="1"/>
  <c r="Q403" i="17"/>
  <c r="Y403" i="17"/>
  <c r="J404" i="17"/>
  <c r="P404" i="17" s="1"/>
  <c r="Q404" i="17"/>
  <c r="J352" i="17"/>
  <c r="P352" i="17" s="1"/>
  <c r="J354" i="17"/>
  <c r="P354" i="17" s="1"/>
  <c r="J356" i="17"/>
  <c r="P356" i="17" s="1"/>
  <c r="J358" i="17"/>
  <c r="P358" i="17" s="1"/>
  <c r="J360" i="17"/>
  <c r="P360" i="17" s="1"/>
  <c r="J362" i="17"/>
  <c r="P362" i="17" s="1"/>
  <c r="J364" i="17"/>
  <c r="P364" i="17" s="1"/>
  <c r="J366" i="17"/>
  <c r="P366" i="17" s="1"/>
  <c r="J368" i="17"/>
  <c r="P368" i="17" s="1"/>
  <c r="J370" i="17"/>
  <c r="P370" i="17" s="1"/>
  <c r="J372" i="17"/>
  <c r="P372" i="17" s="1"/>
  <c r="J374" i="17"/>
  <c r="P374" i="17" s="1"/>
  <c r="J376" i="17"/>
  <c r="P376" i="17" s="1"/>
  <c r="J378" i="17"/>
  <c r="P378" i="17" s="1"/>
  <c r="J380" i="17"/>
  <c r="P380" i="17" s="1"/>
  <c r="J382" i="17"/>
  <c r="P382" i="17" s="1"/>
  <c r="J384" i="17"/>
  <c r="P384" i="17" s="1"/>
  <c r="J386" i="17"/>
  <c r="P386" i="17" s="1"/>
  <c r="J388" i="17"/>
  <c r="P388" i="17" s="1"/>
  <c r="J390" i="17"/>
  <c r="P390" i="17" s="1"/>
  <c r="J392" i="17"/>
  <c r="P392" i="17" s="1"/>
  <c r="J405" i="17"/>
  <c r="P405" i="17" s="1"/>
  <c r="Q405" i="17"/>
  <c r="Y405" i="17"/>
  <c r="J406" i="17"/>
  <c r="P406" i="17" s="1"/>
  <c r="Q406" i="17"/>
  <c r="Y406" i="17"/>
  <c r="J407" i="17"/>
  <c r="P407" i="17" s="1"/>
  <c r="Q407" i="17"/>
  <c r="Y407" i="17"/>
  <c r="J408" i="17"/>
  <c r="P408" i="17" s="1"/>
  <c r="Q408" i="17"/>
  <c r="Y408" i="17"/>
  <c r="J409" i="17"/>
  <c r="P409" i="17" s="1"/>
  <c r="Q409" i="17"/>
  <c r="Y409" i="17"/>
  <c r="J410" i="17"/>
  <c r="P410" i="17" s="1"/>
  <c r="Q410" i="17"/>
  <c r="Y410" i="17"/>
  <c r="J411" i="17"/>
  <c r="P411" i="17" s="1"/>
  <c r="Q411" i="17"/>
  <c r="Y411" i="17"/>
  <c r="J412" i="17"/>
  <c r="P412" i="17" s="1"/>
  <c r="Q412" i="17"/>
  <c r="Y412" i="17"/>
  <c r="J413" i="17"/>
  <c r="P413" i="17" s="1"/>
  <c r="Q413" i="17"/>
  <c r="Y413" i="17"/>
  <c r="J414" i="17"/>
  <c r="P414" i="17" s="1"/>
  <c r="Q414" i="17"/>
  <c r="Y414" i="17"/>
  <c r="J415" i="17"/>
  <c r="P415" i="17" s="1"/>
  <c r="Q415" i="17"/>
  <c r="Y415" i="17"/>
  <c r="J416" i="17"/>
  <c r="P416" i="17" s="1"/>
  <c r="Q416" i="17"/>
  <c r="Y416" i="17"/>
  <c r="J417" i="17"/>
  <c r="P417" i="17" s="1"/>
  <c r="Q417" i="17"/>
  <c r="Y417" i="17"/>
  <c r="J418" i="17"/>
  <c r="P418" i="17" s="1"/>
  <c r="Q418" i="17"/>
  <c r="Y418" i="17"/>
  <c r="J419" i="17"/>
  <c r="P419" i="17" s="1"/>
  <c r="Q419" i="17"/>
  <c r="Y419" i="17"/>
  <c r="J420" i="17"/>
  <c r="P420" i="17" s="1"/>
  <c r="Q420" i="17"/>
  <c r="Y420" i="17"/>
  <c r="J421" i="17"/>
  <c r="P421" i="17" s="1"/>
  <c r="Q421" i="17"/>
  <c r="Y421" i="17"/>
  <c r="J422" i="17"/>
  <c r="P422" i="17" s="1"/>
  <c r="Q422" i="17"/>
  <c r="Y422" i="17"/>
  <c r="J423" i="17"/>
  <c r="P423" i="17" s="1"/>
  <c r="Q423" i="17"/>
  <c r="Y423" i="17"/>
  <c r="J424" i="17"/>
  <c r="P424" i="17" s="1"/>
  <c r="Q424" i="17"/>
  <c r="Y424" i="17"/>
  <c r="J425" i="17"/>
  <c r="P425" i="17" s="1"/>
  <c r="Q425" i="17"/>
  <c r="Y425" i="17"/>
  <c r="J426" i="17"/>
  <c r="P426" i="17" s="1"/>
  <c r="Q426" i="17"/>
  <c r="Y426" i="17"/>
  <c r="J427" i="17"/>
  <c r="P427" i="17" s="1"/>
  <c r="Q427" i="17"/>
  <c r="Y427" i="17"/>
  <c r="J428" i="17"/>
  <c r="P428" i="17" s="1"/>
  <c r="Q428" i="17"/>
  <c r="J429" i="17"/>
  <c r="P429" i="17" s="1"/>
  <c r="Q429" i="17"/>
  <c r="Y430" i="17"/>
  <c r="J430" i="17"/>
  <c r="P430" i="17" s="1"/>
  <c r="Q430" i="17"/>
  <c r="J431" i="17"/>
  <c r="P431" i="17" s="1"/>
  <c r="Q431" i="17"/>
  <c r="Y431" i="17"/>
  <c r="J432" i="17"/>
  <c r="P432" i="17" s="1"/>
  <c r="Q432" i="17"/>
  <c r="Y432" i="17"/>
  <c r="J433" i="17"/>
  <c r="P433" i="17" s="1"/>
  <c r="Q433" i="17"/>
  <c r="Y433" i="17"/>
  <c r="J434" i="17"/>
  <c r="P434" i="17" s="1"/>
  <c r="Q434" i="17"/>
  <c r="Y434" i="17"/>
  <c r="J435" i="17"/>
  <c r="P435" i="17" s="1"/>
  <c r="Q435" i="17"/>
  <c r="Y435" i="17"/>
  <c r="J436" i="17"/>
  <c r="P436" i="17" s="1"/>
  <c r="Q436" i="17"/>
  <c r="Y436" i="17"/>
  <c r="J437" i="17"/>
  <c r="P437" i="17" s="1"/>
  <c r="Q437" i="17"/>
  <c r="Y437" i="17"/>
  <c r="J438" i="17"/>
  <c r="P438" i="17" s="1"/>
  <c r="Q438" i="17"/>
  <c r="Y438" i="17"/>
  <c r="J439" i="17"/>
  <c r="P439" i="17" s="1"/>
  <c r="Q439" i="17"/>
  <c r="Y439" i="17"/>
  <c r="J440" i="17"/>
  <c r="P440" i="17" s="1"/>
  <c r="Q440" i="17"/>
  <c r="Y440" i="17"/>
  <c r="J441" i="17"/>
  <c r="P441" i="17" s="1"/>
  <c r="Q441" i="17"/>
  <c r="Y441" i="17"/>
  <c r="J442" i="17"/>
  <c r="P442" i="17" s="1"/>
  <c r="Q442" i="17"/>
  <c r="Y442" i="17"/>
  <c r="J443" i="17"/>
  <c r="P443" i="17" s="1"/>
  <c r="Q443" i="17"/>
  <c r="Y443" i="17"/>
  <c r="J444" i="17"/>
  <c r="P444" i="17" s="1"/>
  <c r="Q444" i="17"/>
  <c r="Y444" i="17"/>
  <c r="J445" i="17"/>
  <c r="P445" i="17" s="1"/>
  <c r="Q445" i="17"/>
  <c r="Y445" i="17"/>
  <c r="J446" i="17"/>
  <c r="P446" i="17" s="1"/>
  <c r="Q446" i="17"/>
  <c r="Y446" i="17"/>
  <c r="I447" i="17"/>
  <c r="L447" i="17"/>
  <c r="H447" i="17"/>
  <c r="J448" i="17"/>
  <c r="P448" i="17" s="1"/>
  <c r="Q448" i="17"/>
  <c r="J449" i="17"/>
  <c r="P449" i="17" s="1"/>
  <c r="Q449" i="17"/>
  <c r="J450" i="17"/>
  <c r="P450" i="17" s="1"/>
  <c r="Q450" i="17"/>
  <c r="J451" i="17"/>
  <c r="P451" i="17" s="1"/>
  <c r="Q451" i="17"/>
  <c r="J452" i="17"/>
  <c r="P452" i="17" s="1"/>
  <c r="Q452" i="17"/>
  <c r="J453" i="17"/>
  <c r="P453" i="17" s="1"/>
  <c r="Q453" i="17"/>
  <c r="Y454" i="17"/>
  <c r="J454" i="17"/>
  <c r="P454" i="17" s="1"/>
  <c r="Q454" i="17"/>
  <c r="J455" i="17"/>
  <c r="P455" i="17" s="1"/>
  <c r="Q455" i="17"/>
  <c r="Y455" i="17"/>
  <c r="J456" i="17"/>
  <c r="P456" i="17" s="1"/>
  <c r="Q456" i="17"/>
  <c r="J457" i="17"/>
  <c r="P457" i="17" s="1"/>
  <c r="Q457" i="17"/>
  <c r="J458" i="17"/>
  <c r="P458" i="17" s="1"/>
  <c r="Q458" i="17"/>
  <c r="J459" i="17"/>
  <c r="P459" i="17" s="1"/>
  <c r="Q459" i="17"/>
  <c r="H461" i="17"/>
  <c r="N461" i="17"/>
  <c r="I462" i="17"/>
  <c r="Y464" i="17"/>
  <c r="Y465" i="17"/>
  <c r="J460" i="17"/>
  <c r="P460" i="17" s="1"/>
  <c r="Q460" i="17"/>
  <c r="I461" i="17"/>
  <c r="J463" i="17"/>
  <c r="P463" i="17" s="1"/>
  <c r="Q463" i="17"/>
  <c r="J464" i="17"/>
  <c r="P464" i="17" s="1"/>
  <c r="Q464" i="17"/>
  <c r="J465" i="17"/>
  <c r="P465" i="17" s="1"/>
  <c r="Q465" i="17"/>
  <c r="J466" i="17"/>
  <c r="P466" i="17" s="1"/>
  <c r="Q466" i="17"/>
  <c r="J467" i="17"/>
  <c r="P467" i="17" s="1"/>
  <c r="Q467" i="17"/>
  <c r="J468" i="17"/>
  <c r="P468" i="17" s="1"/>
  <c r="Q468" i="17"/>
  <c r="J469" i="17"/>
  <c r="P469" i="17" s="1"/>
  <c r="Q469" i="17"/>
  <c r="J470" i="17"/>
  <c r="P470" i="17" s="1"/>
  <c r="Q470" i="17"/>
  <c r="J471" i="17"/>
  <c r="P471" i="17" s="1"/>
  <c r="Q471" i="17"/>
  <c r="J472" i="17"/>
  <c r="P472" i="17" s="1"/>
  <c r="Q472" i="17"/>
  <c r="J473" i="17"/>
  <c r="P473" i="17" s="1"/>
  <c r="Q473" i="17"/>
  <c r="J474" i="17"/>
  <c r="P474" i="17" s="1"/>
  <c r="Q474" i="17"/>
  <c r="J475" i="17"/>
  <c r="P475" i="17" s="1"/>
  <c r="Q475" i="17"/>
  <c r="Y462" i="17" l="1"/>
  <c r="Q462" i="17"/>
  <c r="J462" i="17"/>
  <c r="P462" i="17" s="1"/>
  <c r="R462" i="17" s="1"/>
  <c r="N477" i="17"/>
  <c r="I477" i="17"/>
  <c r="L477" i="17"/>
  <c r="S463" i="17"/>
  <c r="Z463" i="17"/>
  <c r="AB463" i="17" s="1"/>
  <c r="AC463" i="17" s="1"/>
  <c r="R463" i="17"/>
  <c r="R459" i="17"/>
  <c r="Z459" i="17"/>
  <c r="AB459" i="17" s="1"/>
  <c r="AC459" i="17" s="1"/>
  <c r="S459" i="17"/>
  <c r="Z458" i="17"/>
  <c r="AB458" i="17" s="1"/>
  <c r="AC458" i="17" s="1"/>
  <c r="R458" i="17"/>
  <c r="S458" i="17"/>
  <c r="Z457" i="17"/>
  <c r="AB457" i="17" s="1"/>
  <c r="AC457" i="17" s="1"/>
  <c r="R457" i="17"/>
  <c r="S457" i="17"/>
  <c r="Z456" i="17"/>
  <c r="AB456" i="17" s="1"/>
  <c r="AC456" i="17" s="1"/>
  <c r="R456" i="17"/>
  <c r="S456" i="17"/>
  <c r="Z446" i="17"/>
  <c r="AB446" i="17" s="1"/>
  <c r="AC446" i="17" s="1"/>
  <c r="R446" i="17"/>
  <c r="S446" i="17"/>
  <c r="Z444" i="17"/>
  <c r="AB444" i="17" s="1"/>
  <c r="AC444" i="17" s="1"/>
  <c r="R444" i="17"/>
  <c r="S444" i="17"/>
  <c r="Z442" i="17"/>
  <c r="AB442" i="17" s="1"/>
  <c r="AC442" i="17" s="1"/>
  <c r="R442" i="17"/>
  <c r="S442" i="17"/>
  <c r="Z440" i="17"/>
  <c r="AB440" i="17" s="1"/>
  <c r="AC440" i="17" s="1"/>
  <c r="R440" i="17"/>
  <c r="S440" i="17"/>
  <c r="Z438" i="17"/>
  <c r="AB438" i="17" s="1"/>
  <c r="AC438" i="17" s="1"/>
  <c r="R438" i="17"/>
  <c r="S438" i="17"/>
  <c r="Z436" i="17"/>
  <c r="AB436" i="17" s="1"/>
  <c r="AC436" i="17" s="1"/>
  <c r="R436" i="17"/>
  <c r="S436" i="17"/>
  <c r="Z434" i="17"/>
  <c r="AB434" i="17" s="1"/>
  <c r="AC434" i="17" s="1"/>
  <c r="R434" i="17"/>
  <c r="S434" i="17"/>
  <c r="Z432" i="17"/>
  <c r="AB432" i="17" s="1"/>
  <c r="AC432" i="17" s="1"/>
  <c r="R432" i="17"/>
  <c r="S432" i="17"/>
  <c r="R430" i="17"/>
  <c r="Z430" i="17"/>
  <c r="AB430" i="17" s="1"/>
  <c r="AC430" i="17" s="1"/>
  <c r="S430" i="17"/>
  <c r="Z427" i="17"/>
  <c r="AB427" i="17" s="1"/>
  <c r="AC427" i="17" s="1"/>
  <c r="R427" i="17"/>
  <c r="S427" i="17"/>
  <c r="Z425" i="17"/>
  <c r="AB425" i="17" s="1"/>
  <c r="AC425" i="17" s="1"/>
  <c r="R425" i="17"/>
  <c r="S425" i="17"/>
  <c r="Z423" i="17"/>
  <c r="AB423" i="17" s="1"/>
  <c r="AC423" i="17" s="1"/>
  <c r="R423" i="17"/>
  <c r="S423" i="17"/>
  <c r="Z421" i="17"/>
  <c r="R421" i="17"/>
  <c r="S421" i="17"/>
  <c r="Z419" i="17"/>
  <c r="AB419" i="17" s="1"/>
  <c r="AC419" i="17" s="1"/>
  <c r="R419" i="17"/>
  <c r="S419" i="17"/>
  <c r="Z417" i="17"/>
  <c r="AB417" i="17" s="1"/>
  <c r="AC417" i="17" s="1"/>
  <c r="R417" i="17"/>
  <c r="S417" i="17"/>
  <c r="Z415" i="17"/>
  <c r="AB415" i="17" s="1"/>
  <c r="AC415" i="17" s="1"/>
  <c r="R415" i="17"/>
  <c r="S415" i="17"/>
  <c r="Z413" i="17"/>
  <c r="AB413" i="17" s="1"/>
  <c r="AC413" i="17" s="1"/>
  <c r="R413" i="17"/>
  <c r="S413" i="17"/>
  <c r="Z411" i="17"/>
  <c r="R411" i="17"/>
  <c r="S411" i="17"/>
  <c r="Z409" i="17"/>
  <c r="AB409" i="17" s="1"/>
  <c r="AC409" i="17" s="1"/>
  <c r="R409" i="17"/>
  <c r="S409" i="17"/>
  <c r="Z407" i="17"/>
  <c r="AB407" i="17" s="1"/>
  <c r="AC407" i="17" s="1"/>
  <c r="R407" i="17"/>
  <c r="S407" i="17"/>
  <c r="Z405" i="17"/>
  <c r="AB405" i="17" s="1"/>
  <c r="AC405" i="17" s="1"/>
  <c r="R405" i="17"/>
  <c r="S405" i="17"/>
  <c r="Z352" i="17"/>
  <c r="AB352" i="17" s="1"/>
  <c r="AC352" i="17" s="1"/>
  <c r="R352" i="17"/>
  <c r="U352" i="17" s="1"/>
  <c r="V352" i="17" s="1"/>
  <c r="X352" i="17" s="1"/>
  <c r="Z402" i="17"/>
  <c r="AB402" i="17" s="1"/>
  <c r="AC402" i="17" s="1"/>
  <c r="R402" i="17"/>
  <c r="S402" i="17"/>
  <c r="Z400" i="17"/>
  <c r="R400" i="17"/>
  <c r="S400" i="17"/>
  <c r="Z398" i="17"/>
  <c r="AB398" i="17" s="1"/>
  <c r="AC398" i="17" s="1"/>
  <c r="R398" i="17"/>
  <c r="S398" i="17"/>
  <c r="Z396" i="17"/>
  <c r="AB396" i="17" s="1"/>
  <c r="AC396" i="17" s="1"/>
  <c r="R396" i="17"/>
  <c r="S396" i="17"/>
  <c r="Z394" i="17"/>
  <c r="AB394" i="17" s="1"/>
  <c r="AC394" i="17" s="1"/>
  <c r="R394" i="17"/>
  <c r="S394" i="17"/>
  <c r="Z351" i="17"/>
  <c r="AB351" i="17" s="1"/>
  <c r="AC351" i="17" s="1"/>
  <c r="R351" i="17"/>
  <c r="U351" i="17" s="1"/>
  <c r="V351" i="17" s="1"/>
  <c r="X351" i="17" s="1"/>
  <c r="R299" i="17"/>
  <c r="U299" i="17" s="1"/>
  <c r="V299" i="17" s="1"/>
  <c r="X299" i="17" s="1"/>
  <c r="Z299" i="17"/>
  <c r="Z297" i="17"/>
  <c r="AB297" i="17" s="1"/>
  <c r="AC297" i="17" s="1"/>
  <c r="R297" i="17"/>
  <c r="U297" i="17" s="1"/>
  <c r="V297" i="17" s="1"/>
  <c r="X297" i="17" s="1"/>
  <c r="Z295" i="17"/>
  <c r="AB295" i="17" s="1"/>
  <c r="AC295" i="17" s="1"/>
  <c r="R295" i="17"/>
  <c r="U295" i="17" s="1"/>
  <c r="V295" i="17" s="1"/>
  <c r="X295" i="17" s="1"/>
  <c r="Z293" i="17"/>
  <c r="AB293" i="17" s="1"/>
  <c r="AC293" i="17" s="1"/>
  <c r="R293" i="17"/>
  <c r="U293" i="17" s="1"/>
  <c r="V293" i="17" s="1"/>
  <c r="X293" i="17" s="1"/>
  <c r="Z291" i="17"/>
  <c r="AB291" i="17" s="1"/>
  <c r="AC291" i="17" s="1"/>
  <c r="R291" i="17"/>
  <c r="U291" i="17" s="1"/>
  <c r="V291" i="17" s="1"/>
  <c r="X291" i="17" s="1"/>
  <c r="Z289" i="17"/>
  <c r="R289" i="17"/>
  <c r="U289" i="17" s="1"/>
  <c r="V289" i="17" s="1"/>
  <c r="X289" i="17" s="1"/>
  <c r="Z287" i="17"/>
  <c r="AB287" i="17" s="1"/>
  <c r="AC287" i="17" s="1"/>
  <c r="R287" i="17"/>
  <c r="U287" i="17" s="1"/>
  <c r="V287" i="17" s="1"/>
  <c r="X287" i="17" s="1"/>
  <c r="Z285" i="17"/>
  <c r="AB285" i="17" s="1"/>
  <c r="AC285" i="17" s="1"/>
  <c r="R285" i="17"/>
  <c r="U285" i="17" s="1"/>
  <c r="V285" i="17" s="1"/>
  <c r="X285" i="17" s="1"/>
  <c r="Z283" i="17"/>
  <c r="AB283" i="17" s="1"/>
  <c r="AC283" i="17" s="1"/>
  <c r="R283" i="17"/>
  <c r="U283" i="17" s="1"/>
  <c r="V283" i="17" s="1"/>
  <c r="X283" i="17" s="1"/>
  <c r="Z281" i="17"/>
  <c r="AB281" i="17" s="1"/>
  <c r="AC281" i="17" s="1"/>
  <c r="R281" i="17"/>
  <c r="U281" i="17" s="1"/>
  <c r="V281" i="17" s="1"/>
  <c r="X281" i="17" s="1"/>
  <c r="Z279" i="17"/>
  <c r="AB279" i="17" s="1"/>
  <c r="AC279" i="17" s="1"/>
  <c r="R279" i="17"/>
  <c r="U279" i="17" s="1"/>
  <c r="V279" i="17" s="1"/>
  <c r="X279" i="17" s="1"/>
  <c r="Z277" i="17"/>
  <c r="AB277" i="17" s="1"/>
  <c r="AC277" i="17" s="1"/>
  <c r="R277" i="17"/>
  <c r="U277" i="17" s="1"/>
  <c r="V277" i="17" s="1"/>
  <c r="X277" i="17" s="1"/>
  <c r="Z275" i="17"/>
  <c r="AB275" i="17" s="1"/>
  <c r="AC275" i="17" s="1"/>
  <c r="R275" i="17"/>
  <c r="U275" i="17" s="1"/>
  <c r="V275" i="17" s="1"/>
  <c r="X275" i="17" s="1"/>
  <c r="Z273" i="17"/>
  <c r="R273" i="17"/>
  <c r="U273" i="17" s="1"/>
  <c r="V273" i="17" s="1"/>
  <c r="X273" i="17" s="1"/>
  <c r="Z271" i="17"/>
  <c r="AB271" i="17" s="1"/>
  <c r="AC271" i="17" s="1"/>
  <c r="R271" i="17"/>
  <c r="U271" i="17" s="1"/>
  <c r="V271" i="17" s="1"/>
  <c r="X271" i="17" s="1"/>
  <c r="Z269" i="17"/>
  <c r="AB269" i="17" s="1"/>
  <c r="AC269" i="17" s="1"/>
  <c r="R269" i="17"/>
  <c r="U269" i="17" s="1"/>
  <c r="V269" i="17" s="1"/>
  <c r="X269" i="17" s="1"/>
  <c r="Z267" i="17"/>
  <c r="AB267" i="17" s="1"/>
  <c r="AC267" i="17" s="1"/>
  <c r="R267" i="17"/>
  <c r="U267" i="17" s="1"/>
  <c r="V267" i="17" s="1"/>
  <c r="X267" i="17" s="1"/>
  <c r="Z265" i="17"/>
  <c r="AB265" i="17" s="1"/>
  <c r="AC265" i="17" s="1"/>
  <c r="R265" i="17"/>
  <c r="U265" i="17" s="1"/>
  <c r="V265" i="17" s="1"/>
  <c r="X265" i="17" s="1"/>
  <c r="Z263" i="17"/>
  <c r="AB263" i="17" s="1"/>
  <c r="AC263" i="17" s="1"/>
  <c r="R263" i="17"/>
  <c r="U263" i="17" s="1"/>
  <c r="V263" i="17" s="1"/>
  <c r="X263" i="17" s="1"/>
  <c r="Z261" i="17"/>
  <c r="AB261" i="17" s="1"/>
  <c r="AC261" i="17" s="1"/>
  <c r="R261" i="17"/>
  <c r="U261" i="17" s="1"/>
  <c r="V261" i="17" s="1"/>
  <c r="X261" i="17" s="1"/>
  <c r="Z259" i="17"/>
  <c r="AB259" i="17" s="1"/>
  <c r="AC259" i="17" s="1"/>
  <c r="R259" i="17"/>
  <c r="U259" i="17" s="1"/>
  <c r="V259" i="17" s="1"/>
  <c r="X259" i="17" s="1"/>
  <c r="Z257" i="17"/>
  <c r="R257" i="17"/>
  <c r="U257" i="17" s="1"/>
  <c r="V257" i="17" s="1"/>
  <c r="X257" i="17" s="1"/>
  <c r="Z255" i="17"/>
  <c r="AB255" i="17" s="1"/>
  <c r="AC255" i="17" s="1"/>
  <c r="R255" i="17"/>
  <c r="U255" i="17" s="1"/>
  <c r="V255" i="17" s="1"/>
  <c r="X255" i="17" s="1"/>
  <c r="Z253" i="17"/>
  <c r="AB253" i="17" s="1"/>
  <c r="AC253" i="17" s="1"/>
  <c r="R253" i="17"/>
  <c r="U253" i="17" s="1"/>
  <c r="V253" i="17" s="1"/>
  <c r="X253" i="17" s="1"/>
  <c r="Z251" i="17"/>
  <c r="AB251" i="17" s="1"/>
  <c r="AC251" i="17" s="1"/>
  <c r="R251" i="17"/>
  <c r="U251" i="17" s="1"/>
  <c r="V251" i="17" s="1"/>
  <c r="X251" i="17" s="1"/>
  <c r="Z249" i="17"/>
  <c r="AB249" i="17" s="1"/>
  <c r="AC249" i="17" s="1"/>
  <c r="R249" i="17"/>
  <c r="U249" i="17" s="1"/>
  <c r="V249" i="17" s="1"/>
  <c r="X249" i="17" s="1"/>
  <c r="Z247" i="17"/>
  <c r="AB247" i="17" s="1"/>
  <c r="AC247" i="17" s="1"/>
  <c r="R247" i="17"/>
  <c r="U247" i="17" s="1"/>
  <c r="V247" i="17" s="1"/>
  <c r="X247" i="17" s="1"/>
  <c r="Z245" i="17"/>
  <c r="AB245" i="17" s="1"/>
  <c r="AC245" i="17" s="1"/>
  <c r="R245" i="17"/>
  <c r="U245" i="17" s="1"/>
  <c r="V245" i="17" s="1"/>
  <c r="X245" i="17" s="1"/>
  <c r="Z243" i="17"/>
  <c r="AB243" i="17" s="1"/>
  <c r="AC243" i="17" s="1"/>
  <c r="R243" i="17"/>
  <c r="U243" i="17" s="1"/>
  <c r="V243" i="17" s="1"/>
  <c r="X243" i="17" s="1"/>
  <c r="Z241" i="17"/>
  <c r="R241" i="17"/>
  <c r="U241" i="17" s="1"/>
  <c r="V241" i="17" s="1"/>
  <c r="X241" i="17" s="1"/>
  <c r="Z239" i="17"/>
  <c r="AB239" i="17" s="1"/>
  <c r="AC239" i="17" s="1"/>
  <c r="R239" i="17"/>
  <c r="U239" i="17" s="1"/>
  <c r="V239" i="17" s="1"/>
  <c r="X239" i="17" s="1"/>
  <c r="Z237" i="17"/>
  <c r="AB237" i="17" s="1"/>
  <c r="AC237" i="17" s="1"/>
  <c r="R237" i="17"/>
  <c r="U237" i="17" s="1"/>
  <c r="V237" i="17" s="1"/>
  <c r="X237" i="17" s="1"/>
  <c r="Z235" i="17"/>
  <c r="AB235" i="17" s="1"/>
  <c r="AC235" i="17" s="1"/>
  <c r="R235" i="17"/>
  <c r="U235" i="17" s="1"/>
  <c r="V235" i="17" s="1"/>
  <c r="X235" i="17" s="1"/>
  <c r="Z233" i="17"/>
  <c r="AB233" i="17" s="1"/>
  <c r="AC233" i="17" s="1"/>
  <c r="R233" i="17"/>
  <c r="U233" i="17" s="1"/>
  <c r="V233" i="17" s="1"/>
  <c r="X233" i="17" s="1"/>
  <c r="Z231" i="17"/>
  <c r="AB231" i="17" s="1"/>
  <c r="AC231" i="17" s="1"/>
  <c r="R231" i="17"/>
  <c r="U231" i="17" s="1"/>
  <c r="V231" i="17" s="1"/>
  <c r="X231" i="17" s="1"/>
  <c r="Z229" i="17"/>
  <c r="AB229" i="17" s="1"/>
  <c r="AC229" i="17" s="1"/>
  <c r="R229" i="17"/>
  <c r="U229" i="17" s="1"/>
  <c r="V229" i="17" s="1"/>
  <c r="X229" i="17" s="1"/>
  <c r="Z227" i="17"/>
  <c r="AB227" i="17" s="1"/>
  <c r="AC227" i="17" s="1"/>
  <c r="R227" i="17"/>
  <c r="U227" i="17" s="1"/>
  <c r="V227" i="17" s="1"/>
  <c r="X227" i="17" s="1"/>
  <c r="Z225" i="17"/>
  <c r="R225" i="17"/>
  <c r="U225" i="17" s="1"/>
  <c r="V225" i="17" s="1"/>
  <c r="X225" i="17" s="1"/>
  <c r="Z223" i="17"/>
  <c r="AB223" i="17" s="1"/>
  <c r="AC223" i="17" s="1"/>
  <c r="R223" i="17"/>
  <c r="U223" i="17" s="1"/>
  <c r="V223" i="17" s="1"/>
  <c r="X223" i="17" s="1"/>
  <c r="Z221" i="17"/>
  <c r="AB221" i="17" s="1"/>
  <c r="AC221" i="17" s="1"/>
  <c r="R221" i="17"/>
  <c r="U221" i="17" s="1"/>
  <c r="V221" i="17" s="1"/>
  <c r="X221" i="17" s="1"/>
  <c r="Z219" i="17"/>
  <c r="AB219" i="17" s="1"/>
  <c r="AC219" i="17" s="1"/>
  <c r="R219" i="17"/>
  <c r="U219" i="17" s="1"/>
  <c r="V219" i="17" s="1"/>
  <c r="X219" i="17" s="1"/>
  <c r="Z217" i="17"/>
  <c r="AB217" i="17" s="1"/>
  <c r="AC217" i="17" s="1"/>
  <c r="R217" i="17"/>
  <c r="U217" i="17" s="1"/>
  <c r="V217" i="17" s="1"/>
  <c r="X217" i="17" s="1"/>
  <c r="Z215" i="17"/>
  <c r="AB215" i="17" s="1"/>
  <c r="AC215" i="17" s="1"/>
  <c r="R215" i="17"/>
  <c r="U215" i="17" s="1"/>
  <c r="V215" i="17" s="1"/>
  <c r="X215" i="17" s="1"/>
  <c r="Z213" i="17"/>
  <c r="AB213" i="17" s="1"/>
  <c r="AC213" i="17" s="1"/>
  <c r="R213" i="17"/>
  <c r="U213" i="17" s="1"/>
  <c r="V213" i="17" s="1"/>
  <c r="X213" i="17" s="1"/>
  <c r="Z211" i="17"/>
  <c r="AB211" i="17" s="1"/>
  <c r="AC211" i="17" s="1"/>
  <c r="R211" i="17"/>
  <c r="U211" i="17" s="1"/>
  <c r="V211" i="17" s="1"/>
  <c r="X211" i="17" s="1"/>
  <c r="Z209" i="17"/>
  <c r="R209" i="17"/>
  <c r="U209" i="17" s="1"/>
  <c r="V209" i="17" s="1"/>
  <c r="X209" i="17" s="1"/>
  <c r="Z207" i="17"/>
  <c r="AB207" i="17" s="1"/>
  <c r="AC207" i="17" s="1"/>
  <c r="R207" i="17"/>
  <c r="U207" i="17" s="1"/>
  <c r="V207" i="17" s="1"/>
  <c r="X207" i="17" s="1"/>
  <c r="Z205" i="17"/>
  <c r="AB205" i="17" s="1"/>
  <c r="AC205" i="17" s="1"/>
  <c r="R205" i="17"/>
  <c r="U205" i="17" s="1"/>
  <c r="V205" i="17" s="1"/>
  <c r="X205" i="17" s="1"/>
  <c r="Z203" i="17"/>
  <c r="AB203" i="17" s="1"/>
  <c r="AC203" i="17" s="1"/>
  <c r="R203" i="17"/>
  <c r="U203" i="17" s="1"/>
  <c r="V203" i="17" s="1"/>
  <c r="X203" i="17" s="1"/>
  <c r="Z201" i="17"/>
  <c r="AB201" i="17" s="1"/>
  <c r="AC201" i="17" s="1"/>
  <c r="R201" i="17"/>
  <c r="U201" i="17" s="1"/>
  <c r="V201" i="17" s="1"/>
  <c r="X201" i="17" s="1"/>
  <c r="Z198" i="17"/>
  <c r="AB198" i="17" s="1"/>
  <c r="AC198" i="17" s="1"/>
  <c r="R198" i="17"/>
  <c r="U198" i="17" s="1"/>
  <c r="V198" i="17" s="1"/>
  <c r="X198" i="17" s="1"/>
  <c r="Z196" i="17"/>
  <c r="AB196" i="17" s="1"/>
  <c r="AC196" i="17" s="1"/>
  <c r="R196" i="17"/>
  <c r="U196" i="17" s="1"/>
  <c r="V196" i="17" s="1"/>
  <c r="X196" i="17" s="1"/>
  <c r="Z194" i="17"/>
  <c r="AB194" i="17" s="1"/>
  <c r="AC194" i="17" s="1"/>
  <c r="R194" i="17"/>
  <c r="U194" i="17" s="1"/>
  <c r="V194" i="17" s="1"/>
  <c r="X194" i="17" s="1"/>
  <c r="Z192" i="17"/>
  <c r="AB192" i="17" s="1"/>
  <c r="AC192" i="17" s="1"/>
  <c r="R192" i="17"/>
  <c r="U192" i="17" s="1"/>
  <c r="V192" i="17" s="1"/>
  <c r="X192" i="17" s="1"/>
  <c r="Z190" i="17"/>
  <c r="AB190" i="17" s="1"/>
  <c r="AC190" i="17" s="1"/>
  <c r="R190" i="17"/>
  <c r="U190" i="17" s="1"/>
  <c r="V190" i="17" s="1"/>
  <c r="X190" i="17" s="1"/>
  <c r="Z188" i="17"/>
  <c r="AB188" i="17" s="1"/>
  <c r="AC188" i="17" s="1"/>
  <c r="R188" i="17"/>
  <c r="U188" i="17" s="1"/>
  <c r="V188" i="17" s="1"/>
  <c r="X188" i="17" s="1"/>
  <c r="Z186" i="17"/>
  <c r="AB186" i="17" s="1"/>
  <c r="AC186" i="17" s="1"/>
  <c r="R186" i="17"/>
  <c r="U186" i="17" s="1"/>
  <c r="V186" i="17" s="1"/>
  <c r="X186" i="17" s="1"/>
  <c r="Z184" i="17"/>
  <c r="R184" i="17"/>
  <c r="U184" i="17" s="1"/>
  <c r="V184" i="17" s="1"/>
  <c r="X184" i="17" s="1"/>
  <c r="Z182" i="17"/>
  <c r="AB182" i="17" s="1"/>
  <c r="AC182" i="17" s="1"/>
  <c r="R182" i="17"/>
  <c r="U182" i="17" s="1"/>
  <c r="V182" i="17" s="1"/>
  <c r="X182" i="17" s="1"/>
  <c r="R80" i="17"/>
  <c r="Z80" i="17"/>
  <c r="AB80" i="17" s="1"/>
  <c r="AC80" i="17" s="1"/>
  <c r="S80" i="17"/>
  <c r="Z79" i="17"/>
  <c r="AB79" i="17" s="1"/>
  <c r="AC79" i="17" s="1"/>
  <c r="R79" i="17"/>
  <c r="S79" i="17"/>
  <c r="Z77" i="17"/>
  <c r="AB77" i="17" s="1"/>
  <c r="AC77" i="17" s="1"/>
  <c r="R77" i="17"/>
  <c r="S77" i="17"/>
  <c r="Z75" i="17"/>
  <c r="AB75" i="17" s="1"/>
  <c r="AC75" i="17" s="1"/>
  <c r="R75" i="17"/>
  <c r="S75" i="17"/>
  <c r="Z73" i="17"/>
  <c r="AB73" i="17" s="1"/>
  <c r="AC73" i="17" s="1"/>
  <c r="R73" i="17"/>
  <c r="S73" i="17"/>
  <c r="Z71" i="17"/>
  <c r="R71" i="17"/>
  <c r="S71" i="17"/>
  <c r="Z69" i="17"/>
  <c r="AB69" i="17" s="1"/>
  <c r="AC69" i="17" s="1"/>
  <c r="R69" i="17"/>
  <c r="S69" i="17"/>
  <c r="Z67" i="17"/>
  <c r="AB67" i="17" s="1"/>
  <c r="AC67" i="17" s="1"/>
  <c r="R67" i="17"/>
  <c r="S67" i="17"/>
  <c r="Z65" i="17"/>
  <c r="AB65" i="17" s="1"/>
  <c r="AC65" i="17" s="1"/>
  <c r="R65" i="17"/>
  <c r="S65" i="17"/>
  <c r="Z63" i="17"/>
  <c r="AB63" i="17" s="1"/>
  <c r="AC63" i="17" s="1"/>
  <c r="R63" i="17"/>
  <c r="S63" i="17"/>
  <c r="Z61" i="17"/>
  <c r="AB61" i="17" s="1"/>
  <c r="AC61" i="17" s="1"/>
  <c r="R61" i="17"/>
  <c r="S61" i="17"/>
  <c r="Z59" i="17"/>
  <c r="AB59" i="17" s="1"/>
  <c r="AC59" i="17" s="1"/>
  <c r="R59" i="17"/>
  <c r="S59" i="17"/>
  <c r="Z57" i="17"/>
  <c r="R57" i="17"/>
  <c r="S57" i="17"/>
  <c r="Z55" i="17"/>
  <c r="R55" i="17"/>
  <c r="S55" i="17"/>
  <c r="Z53" i="17"/>
  <c r="AB53" i="17" s="1"/>
  <c r="AC53" i="17" s="1"/>
  <c r="R53" i="17"/>
  <c r="S53" i="17"/>
  <c r="Z51" i="17"/>
  <c r="AB51" i="17" s="1"/>
  <c r="AC51" i="17" s="1"/>
  <c r="R51" i="17"/>
  <c r="S51" i="17"/>
  <c r="Z49" i="17"/>
  <c r="AB49" i="17" s="1"/>
  <c r="AC49" i="17" s="1"/>
  <c r="R49" i="17"/>
  <c r="S49" i="17"/>
  <c r="Z47" i="17"/>
  <c r="AB47" i="17" s="1"/>
  <c r="AC47" i="17" s="1"/>
  <c r="R47" i="17"/>
  <c r="S47" i="17"/>
  <c r="Z45" i="17"/>
  <c r="AB45" i="17" s="1"/>
  <c r="AC45" i="17" s="1"/>
  <c r="R45" i="17"/>
  <c r="S45" i="17"/>
  <c r="Z43" i="17"/>
  <c r="AB43" i="17" s="1"/>
  <c r="AC43" i="17" s="1"/>
  <c r="R43" i="17"/>
  <c r="S43" i="17"/>
  <c r="Z41" i="17"/>
  <c r="AB41" i="17" s="1"/>
  <c r="AC41" i="17" s="1"/>
  <c r="R41" i="17"/>
  <c r="S41" i="17"/>
  <c r="Z39" i="17"/>
  <c r="R39" i="17"/>
  <c r="S39" i="17"/>
  <c r="Z37" i="17"/>
  <c r="AB37" i="17" s="1"/>
  <c r="AC37" i="17" s="1"/>
  <c r="R37" i="17"/>
  <c r="S37" i="17"/>
  <c r="Z35" i="17"/>
  <c r="AB35" i="17" s="1"/>
  <c r="AC35" i="17" s="1"/>
  <c r="R35" i="17"/>
  <c r="S35" i="17"/>
  <c r="Z33" i="17"/>
  <c r="AB33" i="17" s="1"/>
  <c r="AC33" i="17" s="1"/>
  <c r="R33" i="17"/>
  <c r="S33" i="17"/>
  <c r="Z31" i="17"/>
  <c r="AB31" i="17" s="1"/>
  <c r="AC31" i="17" s="1"/>
  <c r="R31" i="17"/>
  <c r="S31" i="17"/>
  <c r="Z29" i="17"/>
  <c r="AB29" i="17" s="1"/>
  <c r="AC29" i="17" s="1"/>
  <c r="R29" i="17"/>
  <c r="S29" i="17"/>
  <c r="Z27" i="17"/>
  <c r="AB27" i="17" s="1"/>
  <c r="AC27" i="17" s="1"/>
  <c r="R27" i="17"/>
  <c r="S27" i="17"/>
  <c r="Z25" i="17"/>
  <c r="AB25" i="17" s="1"/>
  <c r="AC25" i="17" s="1"/>
  <c r="R25" i="17"/>
  <c r="S25" i="17"/>
  <c r="Z23" i="17"/>
  <c r="R23" i="17"/>
  <c r="S23" i="17"/>
  <c r="Z21" i="17"/>
  <c r="AB21" i="17" s="1"/>
  <c r="AC21" i="17" s="1"/>
  <c r="R21" i="17"/>
  <c r="S21" i="17"/>
  <c r="Z19" i="17"/>
  <c r="AB19" i="17" s="1"/>
  <c r="AC19" i="17" s="1"/>
  <c r="R19" i="17"/>
  <c r="S19" i="17"/>
  <c r="Z17" i="17"/>
  <c r="R17" i="17"/>
  <c r="S17" i="17"/>
  <c r="Z15" i="17"/>
  <c r="AB15" i="17" s="1"/>
  <c r="AC15" i="17" s="1"/>
  <c r="R15" i="17"/>
  <c r="S15" i="17"/>
  <c r="Z13" i="17"/>
  <c r="AB13" i="17" s="1"/>
  <c r="AC13" i="17" s="1"/>
  <c r="R13" i="17"/>
  <c r="S13" i="17"/>
  <c r="Z11" i="17"/>
  <c r="AB11" i="17" s="1"/>
  <c r="AC11" i="17" s="1"/>
  <c r="R11" i="17"/>
  <c r="S11" i="17"/>
  <c r="Z9" i="17"/>
  <c r="AB9" i="17" s="1"/>
  <c r="AC9" i="17" s="1"/>
  <c r="R9" i="17"/>
  <c r="S9" i="17"/>
  <c r="Z7" i="17"/>
  <c r="R7" i="17"/>
  <c r="S7" i="17"/>
  <c r="S460" i="17"/>
  <c r="Z460" i="17"/>
  <c r="AB460" i="17" s="1"/>
  <c r="AC460" i="17" s="1"/>
  <c r="R460" i="17"/>
  <c r="Z455" i="17"/>
  <c r="AB455" i="17" s="1"/>
  <c r="AC455" i="17" s="1"/>
  <c r="R455" i="17"/>
  <c r="S455" i="17"/>
  <c r="S453" i="17"/>
  <c r="Z453" i="17"/>
  <c r="AB453" i="17" s="1"/>
  <c r="AC453" i="17" s="1"/>
  <c r="R453" i="17"/>
  <c r="S452" i="17"/>
  <c r="Z452" i="17"/>
  <c r="AB452" i="17" s="1"/>
  <c r="AC452" i="17" s="1"/>
  <c r="R452" i="17"/>
  <c r="S451" i="17"/>
  <c r="Z451" i="17"/>
  <c r="AB451" i="17" s="1"/>
  <c r="AC451" i="17" s="1"/>
  <c r="R451" i="17"/>
  <c r="S450" i="17"/>
  <c r="Z450" i="17"/>
  <c r="AB450" i="17" s="1"/>
  <c r="AC450" i="17" s="1"/>
  <c r="R450" i="17"/>
  <c r="S449" i="17"/>
  <c r="Z449" i="17"/>
  <c r="AB449" i="17" s="1"/>
  <c r="AC449" i="17" s="1"/>
  <c r="R449" i="17"/>
  <c r="S448" i="17"/>
  <c r="Z448" i="17"/>
  <c r="AB448" i="17" s="1"/>
  <c r="AC448" i="17" s="1"/>
  <c r="R448" i="17"/>
  <c r="Z445" i="17"/>
  <c r="AB445" i="17" s="1"/>
  <c r="AC445" i="17" s="1"/>
  <c r="R445" i="17"/>
  <c r="S445" i="17"/>
  <c r="Z441" i="17"/>
  <c r="AB441" i="17" s="1"/>
  <c r="AC441" i="17" s="1"/>
  <c r="R441" i="17"/>
  <c r="S441" i="17"/>
  <c r="Z437" i="17"/>
  <c r="AB437" i="17" s="1"/>
  <c r="AC437" i="17" s="1"/>
  <c r="R437" i="17"/>
  <c r="S437" i="17"/>
  <c r="Z433" i="17"/>
  <c r="AB433" i="17" s="1"/>
  <c r="AC433" i="17" s="1"/>
  <c r="R433" i="17"/>
  <c r="S433" i="17"/>
  <c r="Z429" i="17"/>
  <c r="AB429" i="17" s="1"/>
  <c r="AC429" i="17" s="1"/>
  <c r="R429" i="17"/>
  <c r="S429" i="17"/>
  <c r="Z428" i="17"/>
  <c r="AB428" i="17" s="1"/>
  <c r="AC428" i="17" s="1"/>
  <c r="R428" i="17"/>
  <c r="S428" i="17"/>
  <c r="Z426" i="17"/>
  <c r="AB426" i="17" s="1"/>
  <c r="AC426" i="17" s="1"/>
  <c r="R426" i="17"/>
  <c r="S426" i="17"/>
  <c r="Z422" i="17"/>
  <c r="AB422" i="17" s="1"/>
  <c r="AC422" i="17" s="1"/>
  <c r="R422" i="17"/>
  <c r="S422" i="17"/>
  <c r="Z418" i="17"/>
  <c r="AB418" i="17" s="1"/>
  <c r="AC418" i="17" s="1"/>
  <c r="R418" i="17"/>
  <c r="S418" i="17"/>
  <c r="Z414" i="17"/>
  <c r="AB414" i="17" s="1"/>
  <c r="AC414" i="17" s="1"/>
  <c r="R414" i="17"/>
  <c r="S414" i="17"/>
  <c r="Z410" i="17"/>
  <c r="AB410" i="17" s="1"/>
  <c r="AC410" i="17" s="1"/>
  <c r="R410" i="17"/>
  <c r="S410" i="17"/>
  <c r="Z406" i="17"/>
  <c r="AB406" i="17" s="1"/>
  <c r="AC406" i="17" s="1"/>
  <c r="R406" i="17"/>
  <c r="S406" i="17"/>
  <c r="Z392" i="17"/>
  <c r="AB392" i="17" s="1"/>
  <c r="AC392" i="17" s="1"/>
  <c r="R392" i="17"/>
  <c r="U392" i="17" s="1"/>
  <c r="V392" i="17" s="1"/>
  <c r="X392" i="17" s="1"/>
  <c r="Z390" i="17"/>
  <c r="AB390" i="17" s="1"/>
  <c r="AC390" i="17" s="1"/>
  <c r="R390" i="17"/>
  <c r="U390" i="17" s="1"/>
  <c r="V390" i="17" s="1"/>
  <c r="X390" i="17" s="1"/>
  <c r="Z388" i="17"/>
  <c r="AB388" i="17" s="1"/>
  <c r="AC388" i="17" s="1"/>
  <c r="R388" i="17"/>
  <c r="U388" i="17" s="1"/>
  <c r="V388" i="17" s="1"/>
  <c r="X388" i="17" s="1"/>
  <c r="Z386" i="17"/>
  <c r="AB386" i="17" s="1"/>
  <c r="AC386" i="17" s="1"/>
  <c r="R386" i="17"/>
  <c r="U386" i="17" s="1"/>
  <c r="V386" i="17" s="1"/>
  <c r="X386" i="17" s="1"/>
  <c r="Z384" i="17"/>
  <c r="AB384" i="17" s="1"/>
  <c r="AC384" i="17" s="1"/>
  <c r="R384" i="17"/>
  <c r="U384" i="17" s="1"/>
  <c r="V384" i="17" s="1"/>
  <c r="X384" i="17" s="1"/>
  <c r="Z382" i="17"/>
  <c r="AB382" i="17" s="1"/>
  <c r="AC382" i="17" s="1"/>
  <c r="R382" i="17"/>
  <c r="U382" i="17" s="1"/>
  <c r="V382" i="17" s="1"/>
  <c r="X382" i="17" s="1"/>
  <c r="Z380" i="17"/>
  <c r="AB380" i="17" s="1"/>
  <c r="AC380" i="17" s="1"/>
  <c r="R380" i="17"/>
  <c r="U380" i="17" s="1"/>
  <c r="V380" i="17" s="1"/>
  <c r="X380" i="17" s="1"/>
  <c r="Z378" i="17"/>
  <c r="AB378" i="17" s="1"/>
  <c r="AC378" i="17" s="1"/>
  <c r="R378" i="17"/>
  <c r="U378" i="17" s="1"/>
  <c r="V378" i="17" s="1"/>
  <c r="X378" i="17" s="1"/>
  <c r="Z376" i="17"/>
  <c r="AB376" i="17" s="1"/>
  <c r="AC376" i="17" s="1"/>
  <c r="R376" i="17"/>
  <c r="U376" i="17" s="1"/>
  <c r="V376" i="17" s="1"/>
  <c r="X376" i="17" s="1"/>
  <c r="Z374" i="17"/>
  <c r="AB374" i="17" s="1"/>
  <c r="AC374" i="17" s="1"/>
  <c r="R374" i="17"/>
  <c r="U374" i="17" s="1"/>
  <c r="V374" i="17" s="1"/>
  <c r="X374" i="17" s="1"/>
  <c r="Z372" i="17"/>
  <c r="AB372" i="17" s="1"/>
  <c r="AC372" i="17" s="1"/>
  <c r="R372" i="17"/>
  <c r="U372" i="17" s="1"/>
  <c r="V372" i="17" s="1"/>
  <c r="X372" i="17" s="1"/>
  <c r="Z370" i="17"/>
  <c r="AB370" i="17" s="1"/>
  <c r="AC370" i="17" s="1"/>
  <c r="R370" i="17"/>
  <c r="U370" i="17" s="1"/>
  <c r="V370" i="17" s="1"/>
  <c r="X370" i="17" s="1"/>
  <c r="Z368" i="17"/>
  <c r="AB368" i="17" s="1"/>
  <c r="AC368" i="17" s="1"/>
  <c r="R368" i="17"/>
  <c r="U368" i="17" s="1"/>
  <c r="V368" i="17" s="1"/>
  <c r="X368" i="17" s="1"/>
  <c r="Z366" i="17"/>
  <c r="AB366" i="17" s="1"/>
  <c r="AC366" i="17" s="1"/>
  <c r="R366" i="17"/>
  <c r="U366" i="17" s="1"/>
  <c r="V366" i="17" s="1"/>
  <c r="X366" i="17" s="1"/>
  <c r="Z364" i="17"/>
  <c r="AB364" i="17" s="1"/>
  <c r="AC364" i="17" s="1"/>
  <c r="R364" i="17"/>
  <c r="U364" i="17" s="1"/>
  <c r="V364" i="17" s="1"/>
  <c r="X364" i="17" s="1"/>
  <c r="Z362" i="17"/>
  <c r="AB362" i="17" s="1"/>
  <c r="AC362" i="17" s="1"/>
  <c r="R362" i="17"/>
  <c r="U362" i="17" s="1"/>
  <c r="V362" i="17" s="1"/>
  <c r="X362" i="17" s="1"/>
  <c r="Z358" i="17"/>
  <c r="AB358" i="17" s="1"/>
  <c r="AC358" i="17" s="1"/>
  <c r="R358" i="17"/>
  <c r="U358" i="17" s="1"/>
  <c r="V358" i="17" s="1"/>
  <c r="X358" i="17" s="1"/>
  <c r="Z354" i="17"/>
  <c r="AB354" i="17" s="1"/>
  <c r="AC354" i="17" s="1"/>
  <c r="R354" i="17"/>
  <c r="U354" i="17" s="1"/>
  <c r="V354" i="17" s="1"/>
  <c r="X354" i="17" s="1"/>
  <c r="Z401" i="17"/>
  <c r="AB401" i="17" s="1"/>
  <c r="AC401" i="17" s="1"/>
  <c r="R401" i="17"/>
  <c r="S401" i="17"/>
  <c r="Z397" i="17"/>
  <c r="AB397" i="17" s="1"/>
  <c r="AC397" i="17" s="1"/>
  <c r="R397" i="17"/>
  <c r="S397" i="17"/>
  <c r="Z393" i="17"/>
  <c r="AB393" i="17" s="1"/>
  <c r="AC393" i="17" s="1"/>
  <c r="R393" i="17"/>
  <c r="S393" i="17"/>
  <c r="R353" i="17"/>
  <c r="U353" i="17" s="1"/>
  <c r="V353" i="17" s="1"/>
  <c r="X353" i="17" s="1"/>
  <c r="Z353" i="17"/>
  <c r="AB353" i="17" s="1"/>
  <c r="AC353" i="17" s="1"/>
  <c r="Z180" i="17"/>
  <c r="AB180" i="17" s="1"/>
  <c r="AC180" i="17" s="1"/>
  <c r="R180" i="17"/>
  <c r="U180" i="17" s="1"/>
  <c r="V180" i="17" s="1"/>
  <c r="X180" i="17" s="1"/>
  <c r="Z178" i="17"/>
  <c r="AB178" i="17" s="1"/>
  <c r="AC178" i="17" s="1"/>
  <c r="R178" i="17"/>
  <c r="U178" i="17" s="1"/>
  <c r="V178" i="17" s="1"/>
  <c r="X178" i="17" s="1"/>
  <c r="Z176" i="17"/>
  <c r="AB176" i="17" s="1"/>
  <c r="AC176" i="17" s="1"/>
  <c r="R176" i="17"/>
  <c r="U176" i="17" s="1"/>
  <c r="V176" i="17" s="1"/>
  <c r="X176" i="17" s="1"/>
  <c r="Z174" i="17"/>
  <c r="AB174" i="17" s="1"/>
  <c r="AC174" i="17" s="1"/>
  <c r="R174" i="17"/>
  <c r="U174" i="17" s="1"/>
  <c r="V174" i="17" s="1"/>
  <c r="X174" i="17" s="1"/>
  <c r="Z172" i="17"/>
  <c r="AB172" i="17" s="1"/>
  <c r="AC172" i="17" s="1"/>
  <c r="R172" i="17"/>
  <c r="U172" i="17" s="1"/>
  <c r="V172" i="17" s="1"/>
  <c r="X172" i="17" s="1"/>
  <c r="Z170" i="17"/>
  <c r="AB170" i="17" s="1"/>
  <c r="AC170" i="17" s="1"/>
  <c r="R170" i="17"/>
  <c r="U170" i="17" s="1"/>
  <c r="V170" i="17" s="1"/>
  <c r="X170" i="17" s="1"/>
  <c r="Z168" i="17"/>
  <c r="AB168" i="17" s="1"/>
  <c r="AC168" i="17" s="1"/>
  <c r="R168" i="17"/>
  <c r="U168" i="17" s="1"/>
  <c r="V168" i="17" s="1"/>
  <c r="X168" i="17" s="1"/>
  <c r="Z166" i="17"/>
  <c r="AB166" i="17" s="1"/>
  <c r="AC166" i="17" s="1"/>
  <c r="R166" i="17"/>
  <c r="U166" i="17" s="1"/>
  <c r="V166" i="17" s="1"/>
  <c r="X166" i="17" s="1"/>
  <c r="Z164" i="17"/>
  <c r="AB164" i="17" s="1"/>
  <c r="AC164" i="17" s="1"/>
  <c r="R164" i="17"/>
  <c r="U164" i="17" s="1"/>
  <c r="V164" i="17" s="1"/>
  <c r="X164" i="17" s="1"/>
  <c r="Z162" i="17"/>
  <c r="AB162" i="17" s="1"/>
  <c r="AC162" i="17" s="1"/>
  <c r="R162" i="17"/>
  <c r="U162" i="17" s="1"/>
  <c r="V162" i="17" s="1"/>
  <c r="X162" i="17" s="1"/>
  <c r="Z160" i="17"/>
  <c r="AB160" i="17" s="1"/>
  <c r="AC160" i="17" s="1"/>
  <c r="R160" i="17"/>
  <c r="U160" i="17" s="1"/>
  <c r="V160" i="17" s="1"/>
  <c r="X160" i="17" s="1"/>
  <c r="Z158" i="17"/>
  <c r="AB158" i="17" s="1"/>
  <c r="AC158" i="17" s="1"/>
  <c r="R158" i="17"/>
  <c r="U158" i="17" s="1"/>
  <c r="V158" i="17" s="1"/>
  <c r="X158" i="17" s="1"/>
  <c r="Z156" i="17"/>
  <c r="AB156" i="17" s="1"/>
  <c r="AC156" i="17" s="1"/>
  <c r="R156" i="17"/>
  <c r="U156" i="17" s="1"/>
  <c r="V156" i="17" s="1"/>
  <c r="X156" i="17" s="1"/>
  <c r="Z154" i="17"/>
  <c r="AB154" i="17" s="1"/>
  <c r="AC154" i="17" s="1"/>
  <c r="R154" i="17"/>
  <c r="U154" i="17" s="1"/>
  <c r="V154" i="17" s="1"/>
  <c r="X154" i="17" s="1"/>
  <c r="Z152" i="17"/>
  <c r="AB152" i="17" s="1"/>
  <c r="AC152" i="17" s="1"/>
  <c r="R152" i="17"/>
  <c r="U152" i="17" s="1"/>
  <c r="V152" i="17" s="1"/>
  <c r="X152" i="17" s="1"/>
  <c r="Z150" i="17"/>
  <c r="AB150" i="17" s="1"/>
  <c r="AC150" i="17" s="1"/>
  <c r="R150" i="17"/>
  <c r="U150" i="17" s="1"/>
  <c r="V150" i="17" s="1"/>
  <c r="X150" i="17" s="1"/>
  <c r="Z148" i="17"/>
  <c r="AB148" i="17" s="1"/>
  <c r="AC148" i="17" s="1"/>
  <c r="R148" i="17"/>
  <c r="U148" i="17" s="1"/>
  <c r="V148" i="17" s="1"/>
  <c r="X148" i="17" s="1"/>
  <c r="Z146" i="17"/>
  <c r="AB146" i="17" s="1"/>
  <c r="AC146" i="17" s="1"/>
  <c r="R146" i="17"/>
  <c r="U146" i="17" s="1"/>
  <c r="V146" i="17" s="1"/>
  <c r="X146" i="17" s="1"/>
  <c r="Z144" i="17"/>
  <c r="AB144" i="17" s="1"/>
  <c r="AC144" i="17" s="1"/>
  <c r="R144" i="17"/>
  <c r="U144" i="17" s="1"/>
  <c r="V144" i="17" s="1"/>
  <c r="X144" i="17" s="1"/>
  <c r="Z142" i="17"/>
  <c r="AB142" i="17" s="1"/>
  <c r="AC142" i="17" s="1"/>
  <c r="R142" i="17"/>
  <c r="U142" i="17" s="1"/>
  <c r="V142" i="17" s="1"/>
  <c r="X142" i="17" s="1"/>
  <c r="Z140" i="17"/>
  <c r="AB140" i="17" s="1"/>
  <c r="AC140" i="17" s="1"/>
  <c r="R140" i="17"/>
  <c r="U140" i="17" s="1"/>
  <c r="V140" i="17" s="1"/>
  <c r="X140" i="17" s="1"/>
  <c r="Z138" i="17"/>
  <c r="AB138" i="17" s="1"/>
  <c r="AC138" i="17" s="1"/>
  <c r="R138" i="17"/>
  <c r="U138" i="17" s="1"/>
  <c r="V138" i="17" s="1"/>
  <c r="X138" i="17" s="1"/>
  <c r="Z136" i="17"/>
  <c r="AB136" i="17" s="1"/>
  <c r="AC136" i="17" s="1"/>
  <c r="R136" i="17"/>
  <c r="U136" i="17" s="1"/>
  <c r="V136" i="17" s="1"/>
  <c r="X136" i="17" s="1"/>
  <c r="Z134" i="17"/>
  <c r="AB134" i="17" s="1"/>
  <c r="AC134" i="17" s="1"/>
  <c r="R134" i="17"/>
  <c r="U134" i="17" s="1"/>
  <c r="V134" i="17" s="1"/>
  <c r="X134" i="17" s="1"/>
  <c r="S133" i="17"/>
  <c r="Z133" i="17"/>
  <c r="AB133" i="17" s="1"/>
  <c r="AC133" i="17" s="1"/>
  <c r="R133" i="17"/>
  <c r="S132" i="17"/>
  <c r="Z132" i="17"/>
  <c r="AB132" i="17" s="1"/>
  <c r="AC132" i="17" s="1"/>
  <c r="R132" i="17"/>
  <c r="S131" i="17"/>
  <c r="Z131" i="17"/>
  <c r="AB131" i="17" s="1"/>
  <c r="AC131" i="17" s="1"/>
  <c r="R131" i="17"/>
  <c r="S130" i="17"/>
  <c r="Z130" i="17"/>
  <c r="AB130" i="17" s="1"/>
  <c r="AC130" i="17" s="1"/>
  <c r="R130" i="17"/>
  <c r="S129" i="17"/>
  <c r="Z129" i="17"/>
  <c r="AB129" i="17" s="1"/>
  <c r="AC129" i="17" s="1"/>
  <c r="R129" i="17"/>
  <c r="S128" i="17"/>
  <c r="Z128" i="17"/>
  <c r="AB128" i="17" s="1"/>
  <c r="AC128" i="17" s="1"/>
  <c r="R128" i="17"/>
  <c r="S127" i="17"/>
  <c r="Z127" i="17"/>
  <c r="AB127" i="17" s="1"/>
  <c r="AC127" i="17" s="1"/>
  <c r="R127" i="17"/>
  <c r="S126" i="17"/>
  <c r="Z126" i="17"/>
  <c r="AB126" i="17" s="1"/>
  <c r="AC126" i="17" s="1"/>
  <c r="R126" i="17"/>
  <c r="S125" i="17"/>
  <c r="Z125" i="17"/>
  <c r="AB125" i="17" s="1"/>
  <c r="AC125" i="17" s="1"/>
  <c r="R125" i="17"/>
  <c r="S124" i="17"/>
  <c r="Z124" i="17"/>
  <c r="AB124" i="17" s="1"/>
  <c r="AC124" i="17" s="1"/>
  <c r="R124" i="17"/>
  <c r="S123" i="17"/>
  <c r="Z123" i="17"/>
  <c r="AB123" i="17" s="1"/>
  <c r="AC123" i="17" s="1"/>
  <c r="R123" i="17"/>
  <c r="S122" i="17"/>
  <c r="Z122" i="17"/>
  <c r="AB122" i="17" s="1"/>
  <c r="AC122" i="17" s="1"/>
  <c r="R122" i="17"/>
  <c r="S121" i="17"/>
  <c r="Z121" i="17"/>
  <c r="AB121" i="17" s="1"/>
  <c r="AC121" i="17" s="1"/>
  <c r="R121" i="17"/>
  <c r="S120" i="17"/>
  <c r="Z120" i="17"/>
  <c r="AB120" i="17" s="1"/>
  <c r="AC120" i="17" s="1"/>
  <c r="R120" i="17"/>
  <c r="S119" i="17"/>
  <c r="Z119" i="17"/>
  <c r="AB119" i="17" s="1"/>
  <c r="AC119" i="17" s="1"/>
  <c r="R119" i="17"/>
  <c r="S118" i="17"/>
  <c r="Z118" i="17"/>
  <c r="AB118" i="17" s="1"/>
  <c r="AC118" i="17" s="1"/>
  <c r="R118" i="17"/>
  <c r="S117" i="17"/>
  <c r="Z117" i="17"/>
  <c r="AB117" i="17" s="1"/>
  <c r="AC117" i="17" s="1"/>
  <c r="R117" i="17"/>
  <c r="S116" i="17"/>
  <c r="Z116" i="17"/>
  <c r="AB116" i="17" s="1"/>
  <c r="AC116" i="17" s="1"/>
  <c r="R116" i="17"/>
  <c r="S115" i="17"/>
  <c r="Z115" i="17"/>
  <c r="AB115" i="17" s="1"/>
  <c r="AC115" i="17" s="1"/>
  <c r="R115" i="17"/>
  <c r="S114" i="17"/>
  <c r="Z114" i="17"/>
  <c r="AB114" i="17" s="1"/>
  <c r="AC114" i="17" s="1"/>
  <c r="R114" i="17"/>
  <c r="S113" i="17"/>
  <c r="Z113" i="17"/>
  <c r="AB113" i="17" s="1"/>
  <c r="AC113" i="17" s="1"/>
  <c r="R113" i="17"/>
  <c r="S112" i="17"/>
  <c r="Z112" i="17"/>
  <c r="AB112" i="17" s="1"/>
  <c r="AC112" i="17" s="1"/>
  <c r="R112" i="17"/>
  <c r="S111" i="17"/>
  <c r="Z111" i="17"/>
  <c r="AB111" i="17" s="1"/>
  <c r="AC111" i="17" s="1"/>
  <c r="R111" i="17"/>
  <c r="S110" i="17"/>
  <c r="Z110" i="17"/>
  <c r="AB110" i="17" s="1"/>
  <c r="AC110" i="17" s="1"/>
  <c r="R110" i="17"/>
  <c r="S109" i="17"/>
  <c r="Z109" i="17"/>
  <c r="AB109" i="17" s="1"/>
  <c r="AC109" i="17" s="1"/>
  <c r="R109" i="17"/>
  <c r="S108" i="17"/>
  <c r="Z108" i="17"/>
  <c r="AB108" i="17" s="1"/>
  <c r="AC108" i="17" s="1"/>
  <c r="R108" i="17"/>
  <c r="S107" i="17"/>
  <c r="Z107" i="17"/>
  <c r="AB107" i="17" s="1"/>
  <c r="AC107" i="17" s="1"/>
  <c r="R107" i="17"/>
  <c r="S106" i="17"/>
  <c r="Z106" i="17"/>
  <c r="AB106" i="17" s="1"/>
  <c r="AC106" i="17" s="1"/>
  <c r="R106" i="17"/>
  <c r="S105" i="17"/>
  <c r="Z105" i="17"/>
  <c r="AB105" i="17" s="1"/>
  <c r="AC105" i="17" s="1"/>
  <c r="R105" i="17"/>
  <c r="S104" i="17"/>
  <c r="Z104" i="17"/>
  <c r="AB104" i="17" s="1"/>
  <c r="AC104" i="17" s="1"/>
  <c r="R104" i="17"/>
  <c r="S103" i="17"/>
  <c r="Z103" i="17"/>
  <c r="AB103" i="17" s="1"/>
  <c r="AC103" i="17" s="1"/>
  <c r="R103" i="17"/>
  <c r="S102" i="17"/>
  <c r="Z102" i="17"/>
  <c r="AB102" i="17" s="1"/>
  <c r="AC102" i="17" s="1"/>
  <c r="R102" i="17"/>
  <c r="S101" i="17"/>
  <c r="Z101" i="17"/>
  <c r="AB101" i="17" s="1"/>
  <c r="AC101" i="17" s="1"/>
  <c r="R101" i="17"/>
  <c r="S100" i="17"/>
  <c r="Z100" i="17"/>
  <c r="AB100" i="17" s="1"/>
  <c r="AC100" i="17" s="1"/>
  <c r="R100" i="17"/>
  <c r="S99" i="17"/>
  <c r="Z99" i="17"/>
  <c r="AB99" i="17" s="1"/>
  <c r="AC99" i="17" s="1"/>
  <c r="R99" i="17"/>
  <c r="S98" i="17"/>
  <c r="Z98" i="17"/>
  <c r="AB98" i="17" s="1"/>
  <c r="AC98" i="17" s="1"/>
  <c r="R98" i="17"/>
  <c r="S97" i="17"/>
  <c r="Z97" i="17"/>
  <c r="AB97" i="17" s="1"/>
  <c r="AC97" i="17" s="1"/>
  <c r="R97" i="17"/>
  <c r="S96" i="17"/>
  <c r="Z96" i="17"/>
  <c r="AB96" i="17" s="1"/>
  <c r="AC96" i="17" s="1"/>
  <c r="R96" i="17"/>
  <c r="S95" i="17"/>
  <c r="Z95" i="17"/>
  <c r="AB95" i="17" s="1"/>
  <c r="AC95" i="17" s="1"/>
  <c r="R95" i="17"/>
  <c r="S94" i="17"/>
  <c r="Z94" i="17"/>
  <c r="AB94" i="17" s="1"/>
  <c r="AC94" i="17" s="1"/>
  <c r="R94" i="17"/>
  <c r="S93" i="17"/>
  <c r="Z93" i="17"/>
  <c r="AB93" i="17" s="1"/>
  <c r="AC93" i="17" s="1"/>
  <c r="R93" i="17"/>
  <c r="S92" i="17"/>
  <c r="Z92" i="17"/>
  <c r="AB92" i="17" s="1"/>
  <c r="AC92" i="17" s="1"/>
  <c r="R92" i="17"/>
  <c r="S91" i="17"/>
  <c r="R91" i="17"/>
  <c r="Z91" i="17"/>
  <c r="AB91" i="17" s="1"/>
  <c r="AC91" i="17" s="1"/>
  <c r="S90" i="17"/>
  <c r="R90" i="17"/>
  <c r="Z90" i="17"/>
  <c r="AB90" i="17" s="1"/>
  <c r="AC90" i="17" s="1"/>
  <c r="S89" i="17"/>
  <c r="R89" i="17"/>
  <c r="Z89" i="17"/>
  <c r="AB89" i="17" s="1"/>
  <c r="AC89" i="17" s="1"/>
  <c r="S88" i="17"/>
  <c r="R88" i="17"/>
  <c r="Z88" i="17"/>
  <c r="AB88" i="17" s="1"/>
  <c r="AC88" i="17" s="1"/>
  <c r="S87" i="17"/>
  <c r="R87" i="17"/>
  <c r="Z87" i="17"/>
  <c r="AB87" i="17" s="1"/>
  <c r="AC87" i="17" s="1"/>
  <c r="S86" i="17"/>
  <c r="R86" i="17"/>
  <c r="Z86" i="17"/>
  <c r="AB86" i="17" s="1"/>
  <c r="AC86" i="17" s="1"/>
  <c r="S85" i="17"/>
  <c r="R85" i="17"/>
  <c r="Z85" i="17"/>
  <c r="AB85" i="17" s="1"/>
  <c r="AC85" i="17" s="1"/>
  <c r="S84" i="17"/>
  <c r="R84" i="17"/>
  <c r="Z84" i="17"/>
  <c r="AB84" i="17" s="1"/>
  <c r="AC84" i="17" s="1"/>
  <c r="S83" i="17"/>
  <c r="R83" i="17"/>
  <c r="Z83" i="17"/>
  <c r="AB83" i="17" s="1"/>
  <c r="AC83" i="17" s="1"/>
  <c r="S82" i="17"/>
  <c r="R82" i="17"/>
  <c r="Z82" i="17"/>
  <c r="AB82" i="17" s="1"/>
  <c r="AC82" i="17" s="1"/>
  <c r="S81" i="17"/>
  <c r="R81" i="17"/>
  <c r="Z81" i="17"/>
  <c r="AB81" i="17" s="1"/>
  <c r="AC81" i="17" s="1"/>
  <c r="R181" i="17"/>
  <c r="U181" i="17" s="1"/>
  <c r="V181" i="17" s="1"/>
  <c r="X181" i="17" s="1"/>
  <c r="Z181" i="17"/>
  <c r="AB181" i="17" s="1"/>
  <c r="AC181" i="17" s="1"/>
  <c r="Z78" i="17"/>
  <c r="AB78" i="17" s="1"/>
  <c r="AC78" i="17" s="1"/>
  <c r="R78" i="17"/>
  <c r="S78" i="17"/>
  <c r="Z76" i="17"/>
  <c r="AB76" i="17" s="1"/>
  <c r="AC76" i="17" s="1"/>
  <c r="R76" i="17"/>
  <c r="S76" i="17"/>
  <c r="Z74" i="17"/>
  <c r="AB74" i="17" s="1"/>
  <c r="AC74" i="17" s="1"/>
  <c r="R74" i="17"/>
  <c r="S74" i="17"/>
  <c r="Z72" i="17"/>
  <c r="AB72" i="17" s="1"/>
  <c r="AC72" i="17" s="1"/>
  <c r="R72" i="17"/>
  <c r="S72" i="17"/>
  <c r="Z70" i="17"/>
  <c r="AB70" i="17" s="1"/>
  <c r="AC70" i="17" s="1"/>
  <c r="R70" i="17"/>
  <c r="S70" i="17"/>
  <c r="Z68" i="17"/>
  <c r="AB68" i="17" s="1"/>
  <c r="AC68" i="17" s="1"/>
  <c r="R68" i="17"/>
  <c r="S68" i="17"/>
  <c r="Z66" i="17"/>
  <c r="AB66" i="17" s="1"/>
  <c r="AC66" i="17" s="1"/>
  <c r="R66" i="17"/>
  <c r="S66" i="17"/>
  <c r="Z64" i="17"/>
  <c r="AB64" i="17" s="1"/>
  <c r="AC64" i="17" s="1"/>
  <c r="R64" i="17"/>
  <c r="S64" i="17"/>
  <c r="Z62" i="17"/>
  <c r="AB62" i="17" s="1"/>
  <c r="AC62" i="17" s="1"/>
  <c r="R62" i="17"/>
  <c r="S62" i="17"/>
  <c r="Z60" i="17"/>
  <c r="AB60" i="17" s="1"/>
  <c r="AC60" i="17" s="1"/>
  <c r="R60" i="17"/>
  <c r="S60" i="17"/>
  <c r="Z58" i="17"/>
  <c r="AB58" i="17" s="1"/>
  <c r="AC58" i="17" s="1"/>
  <c r="R58" i="17"/>
  <c r="S58" i="17"/>
  <c r="Z56" i="17"/>
  <c r="AB56" i="17" s="1"/>
  <c r="AC56" i="17" s="1"/>
  <c r="R56" i="17"/>
  <c r="S56" i="17"/>
  <c r="Z54" i="17"/>
  <c r="AB54" i="17" s="1"/>
  <c r="AC54" i="17" s="1"/>
  <c r="R54" i="17"/>
  <c r="S54" i="17"/>
  <c r="Z52" i="17"/>
  <c r="AB52" i="17" s="1"/>
  <c r="AC52" i="17" s="1"/>
  <c r="R52" i="17"/>
  <c r="S52" i="17"/>
  <c r="Z50" i="17"/>
  <c r="AB50" i="17" s="1"/>
  <c r="AC50" i="17" s="1"/>
  <c r="R50" i="17"/>
  <c r="S50" i="17"/>
  <c r="Z48" i="17"/>
  <c r="AB48" i="17" s="1"/>
  <c r="AC48" i="17" s="1"/>
  <c r="R48" i="17"/>
  <c r="S48" i="17"/>
  <c r="Z46" i="17"/>
  <c r="AB46" i="17" s="1"/>
  <c r="AC46" i="17" s="1"/>
  <c r="R46" i="17"/>
  <c r="S46" i="17"/>
  <c r="Z44" i="17"/>
  <c r="AB44" i="17" s="1"/>
  <c r="AC44" i="17" s="1"/>
  <c r="R44" i="17"/>
  <c r="S44" i="17"/>
  <c r="Z42" i="17"/>
  <c r="AB42" i="17" s="1"/>
  <c r="AC42" i="17" s="1"/>
  <c r="R42" i="17"/>
  <c r="S42" i="17"/>
  <c r="Z40" i="17"/>
  <c r="AB40" i="17" s="1"/>
  <c r="AC40" i="17" s="1"/>
  <c r="R40" i="17"/>
  <c r="S40" i="17"/>
  <c r="Z38" i="17"/>
  <c r="AB38" i="17" s="1"/>
  <c r="AC38" i="17" s="1"/>
  <c r="R38" i="17"/>
  <c r="S38" i="17"/>
  <c r="Z36" i="17"/>
  <c r="AB36" i="17" s="1"/>
  <c r="AC36" i="17" s="1"/>
  <c r="R36" i="17"/>
  <c r="S36" i="17"/>
  <c r="Z34" i="17"/>
  <c r="AB34" i="17" s="1"/>
  <c r="AC34" i="17" s="1"/>
  <c r="R34" i="17"/>
  <c r="S34" i="17"/>
  <c r="Z32" i="17"/>
  <c r="AB32" i="17" s="1"/>
  <c r="AC32" i="17" s="1"/>
  <c r="R32" i="17"/>
  <c r="S32" i="17"/>
  <c r="Z30" i="17"/>
  <c r="AB30" i="17" s="1"/>
  <c r="AC30" i="17" s="1"/>
  <c r="R30" i="17"/>
  <c r="S30" i="17"/>
  <c r="Z28" i="17"/>
  <c r="AB28" i="17" s="1"/>
  <c r="AC28" i="17" s="1"/>
  <c r="R28" i="17"/>
  <c r="S28" i="17"/>
  <c r="Z26" i="17"/>
  <c r="AB26" i="17" s="1"/>
  <c r="AC26" i="17" s="1"/>
  <c r="R26" i="17"/>
  <c r="S26" i="17"/>
  <c r="Z24" i="17"/>
  <c r="AB24" i="17" s="1"/>
  <c r="AC24" i="17" s="1"/>
  <c r="R24" i="17"/>
  <c r="S24" i="17"/>
  <c r="Z22" i="17"/>
  <c r="AB22" i="17" s="1"/>
  <c r="AC22" i="17" s="1"/>
  <c r="R22" i="17"/>
  <c r="S22" i="17"/>
  <c r="Z20" i="17"/>
  <c r="AB20" i="17" s="1"/>
  <c r="AC20" i="17" s="1"/>
  <c r="R20" i="17"/>
  <c r="S20" i="17"/>
  <c r="Z18" i="17"/>
  <c r="AB18" i="17" s="1"/>
  <c r="AC18" i="17" s="1"/>
  <c r="R18" i="17"/>
  <c r="S18" i="17"/>
  <c r="Z16" i="17"/>
  <c r="AB16" i="17" s="1"/>
  <c r="AC16" i="17" s="1"/>
  <c r="R16" i="17"/>
  <c r="S16" i="17"/>
  <c r="Z14" i="17"/>
  <c r="AB14" i="17" s="1"/>
  <c r="AC14" i="17" s="1"/>
  <c r="R14" i="17"/>
  <c r="S14" i="17"/>
  <c r="Z12" i="17"/>
  <c r="AB12" i="17" s="1"/>
  <c r="AC12" i="17" s="1"/>
  <c r="R12" i="17"/>
  <c r="S12" i="17"/>
  <c r="Z10" i="17"/>
  <c r="AB10" i="17" s="1"/>
  <c r="AC10" i="17" s="1"/>
  <c r="R10" i="17"/>
  <c r="S10" i="17"/>
  <c r="Z8" i="17"/>
  <c r="AB8" i="17" s="1"/>
  <c r="AC8" i="17" s="1"/>
  <c r="R8" i="17"/>
  <c r="S8" i="17"/>
  <c r="S473" i="17"/>
  <c r="Z473" i="17"/>
  <c r="AB473" i="17" s="1"/>
  <c r="AC473" i="17" s="1"/>
  <c r="R473" i="17"/>
  <c r="S467" i="17"/>
  <c r="Z467" i="17"/>
  <c r="AB467" i="17" s="1"/>
  <c r="AC467" i="17" s="1"/>
  <c r="R467" i="17"/>
  <c r="S472" i="17"/>
  <c r="Z472" i="17"/>
  <c r="AB472" i="17" s="1"/>
  <c r="AC472" i="17" s="1"/>
  <c r="R472" i="17"/>
  <c r="S468" i="17"/>
  <c r="Z468" i="17"/>
  <c r="AB468" i="17" s="1"/>
  <c r="AC468" i="17" s="1"/>
  <c r="R468" i="17"/>
  <c r="S466" i="17"/>
  <c r="Z466" i="17"/>
  <c r="AB466" i="17" s="1"/>
  <c r="AC466" i="17" s="1"/>
  <c r="R466" i="17"/>
  <c r="S462" i="17"/>
  <c r="Z462" i="17"/>
  <c r="AB462" i="17" s="1"/>
  <c r="AC462" i="17" s="1"/>
  <c r="S464" i="17"/>
  <c r="R464" i="17"/>
  <c r="Z464" i="17"/>
  <c r="AB464" i="17" s="1"/>
  <c r="AC464" i="17" s="1"/>
  <c r="Z454" i="17"/>
  <c r="AB454" i="17" s="1"/>
  <c r="AC454" i="17" s="1"/>
  <c r="S454" i="17"/>
  <c r="R454" i="17"/>
  <c r="Z443" i="17"/>
  <c r="AB443" i="17" s="1"/>
  <c r="AC443" i="17" s="1"/>
  <c r="R443" i="17"/>
  <c r="S443" i="17"/>
  <c r="Z435" i="17"/>
  <c r="AB435" i="17" s="1"/>
  <c r="AC435" i="17" s="1"/>
  <c r="R435" i="17"/>
  <c r="S435" i="17"/>
  <c r="AB421" i="17"/>
  <c r="AC421" i="17" s="1"/>
  <c r="AB411" i="17"/>
  <c r="AC411" i="17" s="1"/>
  <c r="Z424" i="17"/>
  <c r="AB424" i="17" s="1"/>
  <c r="AC424" i="17" s="1"/>
  <c r="R424" i="17"/>
  <c r="S424" i="17"/>
  <c r="Z420" i="17"/>
  <c r="AB420" i="17" s="1"/>
  <c r="AC420" i="17" s="1"/>
  <c r="R420" i="17"/>
  <c r="S420" i="17"/>
  <c r="Z416" i="17"/>
  <c r="AB416" i="17" s="1"/>
  <c r="AC416" i="17" s="1"/>
  <c r="R416" i="17"/>
  <c r="S416" i="17"/>
  <c r="Z412" i="17"/>
  <c r="AB412" i="17" s="1"/>
  <c r="AC412" i="17" s="1"/>
  <c r="R412" i="17"/>
  <c r="S412" i="17"/>
  <c r="Z408" i="17"/>
  <c r="AB408" i="17" s="1"/>
  <c r="AC408" i="17" s="1"/>
  <c r="R408" i="17"/>
  <c r="S408" i="17"/>
  <c r="Z404" i="17"/>
  <c r="AB404" i="17" s="1"/>
  <c r="AC404" i="17" s="1"/>
  <c r="R404" i="17"/>
  <c r="S404" i="17"/>
  <c r="R391" i="17"/>
  <c r="U391" i="17" s="1"/>
  <c r="V391" i="17" s="1"/>
  <c r="X391" i="17" s="1"/>
  <c r="Z391" i="17"/>
  <c r="AB391" i="17" s="1"/>
  <c r="AC391" i="17" s="1"/>
  <c r="R389" i="17"/>
  <c r="U389" i="17" s="1"/>
  <c r="V389" i="17" s="1"/>
  <c r="X389" i="17" s="1"/>
  <c r="Z389" i="17"/>
  <c r="AB389" i="17" s="1"/>
  <c r="AC389" i="17" s="1"/>
  <c r="R387" i="17"/>
  <c r="U387" i="17" s="1"/>
  <c r="V387" i="17" s="1"/>
  <c r="X387" i="17" s="1"/>
  <c r="Z387" i="17"/>
  <c r="AB387" i="17" s="1"/>
  <c r="AC387" i="17" s="1"/>
  <c r="R385" i="17"/>
  <c r="U385" i="17" s="1"/>
  <c r="V385" i="17" s="1"/>
  <c r="X385" i="17" s="1"/>
  <c r="Z385" i="17"/>
  <c r="AB385" i="17" s="1"/>
  <c r="AC385" i="17" s="1"/>
  <c r="R383" i="17"/>
  <c r="U383" i="17" s="1"/>
  <c r="V383" i="17" s="1"/>
  <c r="X383" i="17" s="1"/>
  <c r="Z383" i="17"/>
  <c r="AB383" i="17" s="1"/>
  <c r="AC383" i="17" s="1"/>
  <c r="R381" i="17"/>
  <c r="U381" i="17" s="1"/>
  <c r="V381" i="17" s="1"/>
  <c r="X381" i="17" s="1"/>
  <c r="Z381" i="17"/>
  <c r="AB381" i="17" s="1"/>
  <c r="AC381" i="17" s="1"/>
  <c r="R379" i="17"/>
  <c r="U379" i="17" s="1"/>
  <c r="V379" i="17" s="1"/>
  <c r="X379" i="17" s="1"/>
  <c r="Z379" i="17"/>
  <c r="AB379" i="17" s="1"/>
  <c r="AC379" i="17" s="1"/>
  <c r="R377" i="17"/>
  <c r="U377" i="17" s="1"/>
  <c r="V377" i="17" s="1"/>
  <c r="X377" i="17" s="1"/>
  <c r="Z377" i="17"/>
  <c r="AB377" i="17" s="1"/>
  <c r="AC377" i="17" s="1"/>
  <c r="R375" i="17"/>
  <c r="U375" i="17" s="1"/>
  <c r="V375" i="17" s="1"/>
  <c r="X375" i="17" s="1"/>
  <c r="Z375" i="17"/>
  <c r="AB375" i="17" s="1"/>
  <c r="AC375" i="17" s="1"/>
  <c r="R373" i="17"/>
  <c r="U373" i="17" s="1"/>
  <c r="V373" i="17" s="1"/>
  <c r="X373" i="17" s="1"/>
  <c r="Z373" i="17"/>
  <c r="AB373" i="17" s="1"/>
  <c r="AC373" i="17" s="1"/>
  <c r="R371" i="17"/>
  <c r="U371" i="17" s="1"/>
  <c r="V371" i="17" s="1"/>
  <c r="X371" i="17" s="1"/>
  <c r="Z371" i="17"/>
  <c r="AB371" i="17" s="1"/>
  <c r="AC371" i="17" s="1"/>
  <c r="R369" i="17"/>
  <c r="U369" i="17" s="1"/>
  <c r="V369" i="17" s="1"/>
  <c r="X369" i="17" s="1"/>
  <c r="Z369" i="17"/>
  <c r="AB369" i="17" s="1"/>
  <c r="AC369" i="17" s="1"/>
  <c r="R367" i="17"/>
  <c r="U367" i="17" s="1"/>
  <c r="V367" i="17" s="1"/>
  <c r="X367" i="17" s="1"/>
  <c r="Z367" i="17"/>
  <c r="AB367" i="17" s="1"/>
  <c r="AC367" i="17" s="1"/>
  <c r="R365" i="17"/>
  <c r="U365" i="17" s="1"/>
  <c r="V365" i="17" s="1"/>
  <c r="X365" i="17" s="1"/>
  <c r="Z365" i="17"/>
  <c r="AB365" i="17" s="1"/>
  <c r="AC365" i="17" s="1"/>
  <c r="R363" i="17"/>
  <c r="U363" i="17" s="1"/>
  <c r="V363" i="17" s="1"/>
  <c r="X363" i="17" s="1"/>
  <c r="Z363" i="17"/>
  <c r="AB363" i="17" s="1"/>
  <c r="AC363" i="17" s="1"/>
  <c r="R361" i="17"/>
  <c r="U361" i="17" s="1"/>
  <c r="V361" i="17" s="1"/>
  <c r="X361" i="17" s="1"/>
  <c r="Z361" i="17"/>
  <c r="AB361" i="17" s="1"/>
  <c r="AC361" i="17" s="1"/>
  <c r="R359" i="17"/>
  <c r="U359" i="17" s="1"/>
  <c r="V359" i="17" s="1"/>
  <c r="X359" i="17" s="1"/>
  <c r="Z359" i="17"/>
  <c r="AB359" i="17" s="1"/>
  <c r="AC359" i="17" s="1"/>
  <c r="R357" i="17"/>
  <c r="U357" i="17" s="1"/>
  <c r="V357" i="17" s="1"/>
  <c r="X357" i="17" s="1"/>
  <c r="Z357" i="17"/>
  <c r="AB357" i="17" s="1"/>
  <c r="AC357" i="17" s="1"/>
  <c r="R355" i="17"/>
  <c r="U355" i="17" s="1"/>
  <c r="V355" i="17" s="1"/>
  <c r="X355" i="17" s="1"/>
  <c r="Z355" i="17"/>
  <c r="AB355" i="17" s="1"/>
  <c r="AC355" i="17" s="1"/>
  <c r="AB400" i="17"/>
  <c r="AC400" i="17" s="1"/>
  <c r="Z360" i="17"/>
  <c r="AB360" i="17" s="1"/>
  <c r="AC360" i="17" s="1"/>
  <c r="R360" i="17"/>
  <c r="U360" i="17" s="1"/>
  <c r="V360" i="17" s="1"/>
  <c r="X360" i="17" s="1"/>
  <c r="Z356" i="17"/>
  <c r="AB356" i="17" s="1"/>
  <c r="AC356" i="17" s="1"/>
  <c r="R356" i="17"/>
  <c r="U356" i="17" s="1"/>
  <c r="V356" i="17" s="1"/>
  <c r="X356" i="17" s="1"/>
  <c r="R349" i="17"/>
  <c r="U349" i="17" s="1"/>
  <c r="V349" i="17" s="1"/>
  <c r="X349" i="17" s="1"/>
  <c r="Z349" i="17"/>
  <c r="AB349" i="17" s="1"/>
  <c r="AC349" i="17" s="1"/>
  <c r="R347" i="17"/>
  <c r="U347" i="17" s="1"/>
  <c r="V347" i="17" s="1"/>
  <c r="X347" i="17" s="1"/>
  <c r="Z347" i="17"/>
  <c r="AB347" i="17" s="1"/>
  <c r="AC347" i="17" s="1"/>
  <c r="R345" i="17"/>
  <c r="U345" i="17" s="1"/>
  <c r="V345" i="17" s="1"/>
  <c r="X345" i="17" s="1"/>
  <c r="Z345" i="17"/>
  <c r="AB345" i="17" s="1"/>
  <c r="AC345" i="17" s="1"/>
  <c r="R343" i="17"/>
  <c r="U343" i="17" s="1"/>
  <c r="V343" i="17" s="1"/>
  <c r="X343" i="17" s="1"/>
  <c r="Z343" i="17"/>
  <c r="AB343" i="17" s="1"/>
  <c r="AC343" i="17" s="1"/>
  <c r="R341" i="17"/>
  <c r="U341" i="17" s="1"/>
  <c r="V341" i="17" s="1"/>
  <c r="X341" i="17" s="1"/>
  <c r="Z341" i="17"/>
  <c r="AB341" i="17" s="1"/>
  <c r="AC341" i="17" s="1"/>
  <c r="R339" i="17"/>
  <c r="U339" i="17" s="1"/>
  <c r="V339" i="17" s="1"/>
  <c r="X339" i="17" s="1"/>
  <c r="Z339" i="17"/>
  <c r="AB339" i="17" s="1"/>
  <c r="AC339" i="17" s="1"/>
  <c r="R337" i="17"/>
  <c r="U337" i="17" s="1"/>
  <c r="V337" i="17" s="1"/>
  <c r="X337" i="17" s="1"/>
  <c r="Z337" i="17"/>
  <c r="AB337" i="17" s="1"/>
  <c r="AC337" i="17" s="1"/>
  <c r="R335" i="17"/>
  <c r="U335" i="17" s="1"/>
  <c r="V335" i="17" s="1"/>
  <c r="X335" i="17" s="1"/>
  <c r="Z335" i="17"/>
  <c r="AB335" i="17" s="1"/>
  <c r="AC335" i="17" s="1"/>
  <c r="R333" i="17"/>
  <c r="U333" i="17" s="1"/>
  <c r="V333" i="17" s="1"/>
  <c r="X333" i="17" s="1"/>
  <c r="Z333" i="17"/>
  <c r="AB333" i="17" s="1"/>
  <c r="AC333" i="17" s="1"/>
  <c r="R331" i="17"/>
  <c r="U331" i="17" s="1"/>
  <c r="V331" i="17" s="1"/>
  <c r="X331" i="17" s="1"/>
  <c r="Z331" i="17"/>
  <c r="AB331" i="17" s="1"/>
  <c r="AC331" i="17" s="1"/>
  <c r="R329" i="17"/>
  <c r="U329" i="17" s="1"/>
  <c r="V329" i="17" s="1"/>
  <c r="X329" i="17" s="1"/>
  <c r="Z329" i="17"/>
  <c r="AB329" i="17" s="1"/>
  <c r="AC329" i="17" s="1"/>
  <c r="R327" i="17"/>
  <c r="U327" i="17" s="1"/>
  <c r="V327" i="17" s="1"/>
  <c r="X327" i="17" s="1"/>
  <c r="Z327" i="17"/>
  <c r="AB327" i="17" s="1"/>
  <c r="AC327" i="17" s="1"/>
  <c r="R325" i="17"/>
  <c r="U325" i="17" s="1"/>
  <c r="V325" i="17" s="1"/>
  <c r="X325" i="17" s="1"/>
  <c r="Z325" i="17"/>
  <c r="AB325" i="17" s="1"/>
  <c r="AC325" i="17" s="1"/>
  <c r="R323" i="17"/>
  <c r="U323" i="17" s="1"/>
  <c r="V323" i="17" s="1"/>
  <c r="X323" i="17" s="1"/>
  <c r="Z323" i="17"/>
  <c r="AB323" i="17" s="1"/>
  <c r="AC323" i="17" s="1"/>
  <c r="R321" i="17"/>
  <c r="U321" i="17" s="1"/>
  <c r="V321" i="17" s="1"/>
  <c r="X321" i="17" s="1"/>
  <c r="Z321" i="17"/>
  <c r="AB321" i="17" s="1"/>
  <c r="AC321" i="17" s="1"/>
  <c r="R319" i="17"/>
  <c r="U319" i="17" s="1"/>
  <c r="V319" i="17" s="1"/>
  <c r="X319" i="17" s="1"/>
  <c r="Z319" i="17"/>
  <c r="AB319" i="17" s="1"/>
  <c r="AC319" i="17" s="1"/>
  <c r="R317" i="17"/>
  <c r="U317" i="17" s="1"/>
  <c r="V317" i="17" s="1"/>
  <c r="X317" i="17" s="1"/>
  <c r="Z317" i="17"/>
  <c r="AB317" i="17" s="1"/>
  <c r="AC317" i="17" s="1"/>
  <c r="R315" i="17"/>
  <c r="U315" i="17" s="1"/>
  <c r="V315" i="17" s="1"/>
  <c r="X315" i="17" s="1"/>
  <c r="Z315" i="17"/>
  <c r="AB315" i="17" s="1"/>
  <c r="AC315" i="17" s="1"/>
  <c r="R313" i="17"/>
  <c r="U313" i="17" s="1"/>
  <c r="V313" i="17" s="1"/>
  <c r="X313" i="17" s="1"/>
  <c r="Z313" i="17"/>
  <c r="AB313" i="17" s="1"/>
  <c r="AC313" i="17" s="1"/>
  <c r="R311" i="17"/>
  <c r="U311" i="17" s="1"/>
  <c r="V311" i="17" s="1"/>
  <c r="X311" i="17" s="1"/>
  <c r="Z311" i="17"/>
  <c r="AB311" i="17" s="1"/>
  <c r="AC311" i="17" s="1"/>
  <c r="R309" i="17"/>
  <c r="U309" i="17" s="1"/>
  <c r="V309" i="17" s="1"/>
  <c r="X309" i="17" s="1"/>
  <c r="Z309" i="17"/>
  <c r="AB309" i="17" s="1"/>
  <c r="AC309" i="17" s="1"/>
  <c r="R307" i="17"/>
  <c r="U307" i="17" s="1"/>
  <c r="V307" i="17" s="1"/>
  <c r="X307" i="17" s="1"/>
  <c r="Z307" i="17"/>
  <c r="AB307" i="17" s="1"/>
  <c r="AC307" i="17" s="1"/>
  <c r="R305" i="17"/>
  <c r="U305" i="17" s="1"/>
  <c r="V305" i="17" s="1"/>
  <c r="X305" i="17" s="1"/>
  <c r="Z305" i="17"/>
  <c r="AB305" i="17" s="1"/>
  <c r="AC305" i="17" s="1"/>
  <c r="R303" i="17"/>
  <c r="U303" i="17" s="1"/>
  <c r="V303" i="17" s="1"/>
  <c r="X303" i="17" s="1"/>
  <c r="Z303" i="17"/>
  <c r="AB303" i="17" s="1"/>
  <c r="AC303" i="17" s="1"/>
  <c r="R301" i="17"/>
  <c r="U301" i="17" s="1"/>
  <c r="V301" i="17" s="1"/>
  <c r="X301" i="17" s="1"/>
  <c r="Z301" i="17"/>
  <c r="AB301" i="17" s="1"/>
  <c r="AC301" i="17" s="1"/>
  <c r="Z403" i="17"/>
  <c r="AB403" i="17" s="1"/>
  <c r="AC403" i="17" s="1"/>
  <c r="R403" i="17"/>
  <c r="S403" i="17"/>
  <c r="Z399" i="17"/>
  <c r="AB399" i="17" s="1"/>
  <c r="AC399" i="17" s="1"/>
  <c r="R399" i="17"/>
  <c r="S399" i="17"/>
  <c r="Z395" i="17"/>
  <c r="AB395" i="17" s="1"/>
  <c r="AC395" i="17" s="1"/>
  <c r="R395" i="17"/>
  <c r="S395" i="17"/>
  <c r="Z350" i="17"/>
  <c r="AB350" i="17" s="1"/>
  <c r="AC350" i="17" s="1"/>
  <c r="R350" i="17"/>
  <c r="U350" i="17" s="1"/>
  <c r="V350" i="17" s="1"/>
  <c r="X350" i="17" s="1"/>
  <c r="Z348" i="17"/>
  <c r="AB348" i="17" s="1"/>
  <c r="AC348" i="17" s="1"/>
  <c r="R348" i="17"/>
  <c r="U348" i="17" s="1"/>
  <c r="V348" i="17" s="1"/>
  <c r="X348" i="17" s="1"/>
  <c r="Z346" i="17"/>
  <c r="AB346" i="17" s="1"/>
  <c r="AC346" i="17" s="1"/>
  <c r="R346" i="17"/>
  <c r="U346" i="17" s="1"/>
  <c r="V346" i="17" s="1"/>
  <c r="X346" i="17" s="1"/>
  <c r="Z344" i="17"/>
  <c r="AB344" i="17" s="1"/>
  <c r="AC344" i="17" s="1"/>
  <c r="R344" i="17"/>
  <c r="U344" i="17" s="1"/>
  <c r="V344" i="17" s="1"/>
  <c r="X344" i="17" s="1"/>
  <c r="Z342" i="17"/>
  <c r="AB342" i="17" s="1"/>
  <c r="AC342" i="17" s="1"/>
  <c r="R342" i="17"/>
  <c r="U342" i="17" s="1"/>
  <c r="V342" i="17" s="1"/>
  <c r="X342" i="17" s="1"/>
  <c r="Z340" i="17"/>
  <c r="AB340" i="17" s="1"/>
  <c r="AC340" i="17" s="1"/>
  <c r="R340" i="17"/>
  <c r="U340" i="17" s="1"/>
  <c r="V340" i="17" s="1"/>
  <c r="X340" i="17" s="1"/>
  <c r="Z338" i="17"/>
  <c r="AB338" i="17" s="1"/>
  <c r="AC338" i="17" s="1"/>
  <c r="R338" i="17"/>
  <c r="U338" i="17" s="1"/>
  <c r="V338" i="17" s="1"/>
  <c r="X338" i="17" s="1"/>
  <c r="Z336" i="17"/>
  <c r="AB336" i="17" s="1"/>
  <c r="AC336" i="17" s="1"/>
  <c r="R336" i="17"/>
  <c r="U336" i="17" s="1"/>
  <c r="V336" i="17" s="1"/>
  <c r="X336" i="17" s="1"/>
  <c r="Z334" i="17"/>
  <c r="AB334" i="17" s="1"/>
  <c r="AC334" i="17" s="1"/>
  <c r="R334" i="17"/>
  <c r="U334" i="17" s="1"/>
  <c r="V334" i="17" s="1"/>
  <c r="X334" i="17" s="1"/>
  <c r="Z332" i="17"/>
  <c r="AB332" i="17" s="1"/>
  <c r="AC332" i="17" s="1"/>
  <c r="R332" i="17"/>
  <c r="U332" i="17" s="1"/>
  <c r="V332" i="17" s="1"/>
  <c r="X332" i="17" s="1"/>
  <c r="Z330" i="17"/>
  <c r="AB330" i="17" s="1"/>
  <c r="AC330" i="17" s="1"/>
  <c r="R330" i="17"/>
  <c r="U330" i="17" s="1"/>
  <c r="V330" i="17" s="1"/>
  <c r="X330" i="17" s="1"/>
  <c r="Z328" i="17"/>
  <c r="AB328" i="17" s="1"/>
  <c r="AC328" i="17" s="1"/>
  <c r="R328" i="17"/>
  <c r="U328" i="17" s="1"/>
  <c r="V328" i="17" s="1"/>
  <c r="X328" i="17" s="1"/>
  <c r="Z326" i="17"/>
  <c r="AB326" i="17" s="1"/>
  <c r="AC326" i="17" s="1"/>
  <c r="R326" i="17"/>
  <c r="U326" i="17" s="1"/>
  <c r="V326" i="17" s="1"/>
  <c r="X326" i="17" s="1"/>
  <c r="Z324" i="17"/>
  <c r="AB324" i="17" s="1"/>
  <c r="AC324" i="17" s="1"/>
  <c r="R324" i="17"/>
  <c r="U324" i="17" s="1"/>
  <c r="V324" i="17" s="1"/>
  <c r="X324" i="17" s="1"/>
  <c r="Z322" i="17"/>
  <c r="AB322" i="17" s="1"/>
  <c r="AC322" i="17" s="1"/>
  <c r="R322" i="17"/>
  <c r="U322" i="17" s="1"/>
  <c r="V322" i="17" s="1"/>
  <c r="X322" i="17" s="1"/>
  <c r="Z320" i="17"/>
  <c r="AB320" i="17" s="1"/>
  <c r="AC320" i="17" s="1"/>
  <c r="R320" i="17"/>
  <c r="U320" i="17" s="1"/>
  <c r="V320" i="17" s="1"/>
  <c r="X320" i="17" s="1"/>
  <c r="Z318" i="17"/>
  <c r="AB318" i="17" s="1"/>
  <c r="AC318" i="17" s="1"/>
  <c r="R318" i="17"/>
  <c r="U318" i="17" s="1"/>
  <c r="V318" i="17" s="1"/>
  <c r="X318" i="17" s="1"/>
  <c r="Z316" i="17"/>
  <c r="AB316" i="17" s="1"/>
  <c r="AC316" i="17" s="1"/>
  <c r="R316" i="17"/>
  <c r="U316" i="17" s="1"/>
  <c r="V316" i="17" s="1"/>
  <c r="X316" i="17" s="1"/>
  <c r="Z314" i="17"/>
  <c r="AB314" i="17" s="1"/>
  <c r="AC314" i="17" s="1"/>
  <c r="R314" i="17"/>
  <c r="U314" i="17" s="1"/>
  <c r="V314" i="17" s="1"/>
  <c r="X314" i="17" s="1"/>
  <c r="Z312" i="17"/>
  <c r="AB312" i="17" s="1"/>
  <c r="AC312" i="17" s="1"/>
  <c r="R312" i="17"/>
  <c r="U312" i="17" s="1"/>
  <c r="V312" i="17" s="1"/>
  <c r="X312" i="17" s="1"/>
  <c r="Z310" i="17"/>
  <c r="AB310" i="17" s="1"/>
  <c r="AC310" i="17" s="1"/>
  <c r="R310" i="17"/>
  <c r="U310" i="17" s="1"/>
  <c r="V310" i="17" s="1"/>
  <c r="X310" i="17" s="1"/>
  <c r="Z308" i="17"/>
  <c r="AB308" i="17" s="1"/>
  <c r="AC308" i="17" s="1"/>
  <c r="R308" i="17"/>
  <c r="U308" i="17" s="1"/>
  <c r="V308" i="17" s="1"/>
  <c r="X308" i="17" s="1"/>
  <c r="Z306" i="17"/>
  <c r="AB306" i="17" s="1"/>
  <c r="AC306" i="17" s="1"/>
  <c r="R306" i="17"/>
  <c r="U306" i="17" s="1"/>
  <c r="V306" i="17" s="1"/>
  <c r="X306" i="17" s="1"/>
  <c r="Z304" i="17"/>
  <c r="AB304" i="17" s="1"/>
  <c r="AC304" i="17" s="1"/>
  <c r="R304" i="17"/>
  <c r="U304" i="17" s="1"/>
  <c r="V304" i="17" s="1"/>
  <c r="X304" i="17" s="1"/>
  <c r="Z302" i="17"/>
  <c r="AB302" i="17" s="1"/>
  <c r="AC302" i="17" s="1"/>
  <c r="R302" i="17"/>
  <c r="U302" i="17" s="1"/>
  <c r="V302" i="17" s="1"/>
  <c r="X302" i="17" s="1"/>
  <c r="Z300" i="17"/>
  <c r="AB300" i="17" s="1"/>
  <c r="AC300" i="17" s="1"/>
  <c r="R300" i="17"/>
  <c r="U300" i="17" s="1"/>
  <c r="V300" i="17" s="1"/>
  <c r="X300" i="17" s="1"/>
  <c r="R298" i="17"/>
  <c r="U298" i="17" s="1"/>
  <c r="V298" i="17" s="1"/>
  <c r="X298" i="17" s="1"/>
  <c r="Z298" i="17"/>
  <c r="AB298" i="17" s="1"/>
  <c r="AC298" i="17" s="1"/>
  <c r="R296" i="17"/>
  <c r="U296" i="17" s="1"/>
  <c r="V296" i="17" s="1"/>
  <c r="X296" i="17" s="1"/>
  <c r="Z296" i="17"/>
  <c r="AB296" i="17" s="1"/>
  <c r="AC296" i="17" s="1"/>
  <c r="R294" i="17"/>
  <c r="U294" i="17" s="1"/>
  <c r="V294" i="17" s="1"/>
  <c r="X294" i="17" s="1"/>
  <c r="Z294" i="17"/>
  <c r="AB294" i="17" s="1"/>
  <c r="AC294" i="17" s="1"/>
  <c r="R292" i="17"/>
  <c r="U292" i="17" s="1"/>
  <c r="V292" i="17" s="1"/>
  <c r="X292" i="17" s="1"/>
  <c r="Z292" i="17"/>
  <c r="AB292" i="17" s="1"/>
  <c r="AC292" i="17" s="1"/>
  <c r="R290" i="17"/>
  <c r="U290" i="17" s="1"/>
  <c r="V290" i="17" s="1"/>
  <c r="X290" i="17" s="1"/>
  <c r="Z290" i="17"/>
  <c r="AB290" i="17" s="1"/>
  <c r="AC290" i="17" s="1"/>
  <c r="R288" i="17"/>
  <c r="U288" i="17" s="1"/>
  <c r="V288" i="17" s="1"/>
  <c r="X288" i="17" s="1"/>
  <c r="Z288" i="17"/>
  <c r="AB288" i="17" s="1"/>
  <c r="AC288" i="17" s="1"/>
  <c r="R286" i="17"/>
  <c r="U286" i="17" s="1"/>
  <c r="V286" i="17" s="1"/>
  <c r="X286" i="17" s="1"/>
  <c r="Z286" i="17"/>
  <c r="AB286" i="17" s="1"/>
  <c r="AC286" i="17" s="1"/>
  <c r="R284" i="17"/>
  <c r="U284" i="17" s="1"/>
  <c r="V284" i="17" s="1"/>
  <c r="X284" i="17" s="1"/>
  <c r="Z284" i="17"/>
  <c r="AB284" i="17" s="1"/>
  <c r="AC284" i="17" s="1"/>
  <c r="R282" i="17"/>
  <c r="U282" i="17" s="1"/>
  <c r="V282" i="17" s="1"/>
  <c r="X282" i="17" s="1"/>
  <c r="Z282" i="17"/>
  <c r="AB282" i="17" s="1"/>
  <c r="AC282" i="17" s="1"/>
  <c r="R280" i="17"/>
  <c r="U280" i="17" s="1"/>
  <c r="V280" i="17" s="1"/>
  <c r="X280" i="17" s="1"/>
  <c r="Z280" i="17"/>
  <c r="AB280" i="17" s="1"/>
  <c r="AC280" i="17" s="1"/>
  <c r="R278" i="17"/>
  <c r="U278" i="17" s="1"/>
  <c r="V278" i="17" s="1"/>
  <c r="X278" i="17" s="1"/>
  <c r="Z278" i="17"/>
  <c r="AB278" i="17" s="1"/>
  <c r="AC278" i="17" s="1"/>
  <c r="R276" i="17"/>
  <c r="U276" i="17" s="1"/>
  <c r="V276" i="17" s="1"/>
  <c r="X276" i="17" s="1"/>
  <c r="Z276" i="17"/>
  <c r="AB276" i="17" s="1"/>
  <c r="AC276" i="17" s="1"/>
  <c r="R274" i="17"/>
  <c r="U274" i="17" s="1"/>
  <c r="V274" i="17" s="1"/>
  <c r="X274" i="17" s="1"/>
  <c r="Z274" i="17"/>
  <c r="AB274" i="17" s="1"/>
  <c r="AC274" i="17" s="1"/>
  <c r="R272" i="17"/>
  <c r="U272" i="17" s="1"/>
  <c r="V272" i="17" s="1"/>
  <c r="X272" i="17" s="1"/>
  <c r="Z272" i="17"/>
  <c r="AB272" i="17" s="1"/>
  <c r="AC272" i="17" s="1"/>
  <c r="R270" i="17"/>
  <c r="U270" i="17" s="1"/>
  <c r="V270" i="17" s="1"/>
  <c r="X270" i="17" s="1"/>
  <c r="Z270" i="17"/>
  <c r="AB270" i="17" s="1"/>
  <c r="AC270" i="17" s="1"/>
  <c r="R268" i="17"/>
  <c r="U268" i="17" s="1"/>
  <c r="V268" i="17" s="1"/>
  <c r="X268" i="17" s="1"/>
  <c r="Z268" i="17"/>
  <c r="AB268" i="17" s="1"/>
  <c r="AC268" i="17" s="1"/>
  <c r="R266" i="17"/>
  <c r="U266" i="17" s="1"/>
  <c r="V266" i="17" s="1"/>
  <c r="X266" i="17" s="1"/>
  <c r="Z266" i="17"/>
  <c r="AB266" i="17" s="1"/>
  <c r="AC266" i="17" s="1"/>
  <c r="R264" i="17"/>
  <c r="U264" i="17" s="1"/>
  <c r="V264" i="17" s="1"/>
  <c r="X264" i="17" s="1"/>
  <c r="Z264" i="17"/>
  <c r="AB264" i="17" s="1"/>
  <c r="AC264" i="17" s="1"/>
  <c r="R262" i="17"/>
  <c r="U262" i="17" s="1"/>
  <c r="V262" i="17" s="1"/>
  <c r="X262" i="17" s="1"/>
  <c r="Z262" i="17"/>
  <c r="AB262" i="17" s="1"/>
  <c r="AC262" i="17" s="1"/>
  <c r="R260" i="17"/>
  <c r="U260" i="17" s="1"/>
  <c r="V260" i="17" s="1"/>
  <c r="X260" i="17" s="1"/>
  <c r="Z260" i="17"/>
  <c r="AB260" i="17" s="1"/>
  <c r="AC260" i="17" s="1"/>
  <c r="R258" i="17"/>
  <c r="U258" i="17" s="1"/>
  <c r="V258" i="17" s="1"/>
  <c r="X258" i="17" s="1"/>
  <c r="Z258" i="17"/>
  <c r="AB258" i="17" s="1"/>
  <c r="AC258" i="17" s="1"/>
  <c r="R256" i="17"/>
  <c r="U256" i="17" s="1"/>
  <c r="V256" i="17" s="1"/>
  <c r="X256" i="17" s="1"/>
  <c r="Z256" i="17"/>
  <c r="AB256" i="17" s="1"/>
  <c r="AC256" i="17" s="1"/>
  <c r="R254" i="17"/>
  <c r="U254" i="17" s="1"/>
  <c r="V254" i="17" s="1"/>
  <c r="X254" i="17" s="1"/>
  <c r="Z254" i="17"/>
  <c r="AB254" i="17" s="1"/>
  <c r="AC254" i="17" s="1"/>
  <c r="R252" i="17"/>
  <c r="U252" i="17" s="1"/>
  <c r="V252" i="17" s="1"/>
  <c r="X252" i="17" s="1"/>
  <c r="Z252" i="17"/>
  <c r="AB252" i="17" s="1"/>
  <c r="AC252" i="17" s="1"/>
  <c r="R250" i="17"/>
  <c r="U250" i="17" s="1"/>
  <c r="V250" i="17" s="1"/>
  <c r="X250" i="17" s="1"/>
  <c r="Z250" i="17"/>
  <c r="AB250" i="17" s="1"/>
  <c r="AC250" i="17" s="1"/>
  <c r="R248" i="17"/>
  <c r="U248" i="17" s="1"/>
  <c r="V248" i="17" s="1"/>
  <c r="X248" i="17" s="1"/>
  <c r="Z248" i="17"/>
  <c r="AB248" i="17" s="1"/>
  <c r="AC248" i="17" s="1"/>
  <c r="R246" i="17"/>
  <c r="U246" i="17" s="1"/>
  <c r="V246" i="17" s="1"/>
  <c r="X246" i="17" s="1"/>
  <c r="Z246" i="17"/>
  <c r="AB246" i="17" s="1"/>
  <c r="AC246" i="17" s="1"/>
  <c r="R244" i="17"/>
  <c r="U244" i="17" s="1"/>
  <c r="V244" i="17" s="1"/>
  <c r="X244" i="17" s="1"/>
  <c r="Z244" i="17"/>
  <c r="AB244" i="17" s="1"/>
  <c r="AC244" i="17" s="1"/>
  <c r="R242" i="17"/>
  <c r="U242" i="17" s="1"/>
  <c r="V242" i="17" s="1"/>
  <c r="X242" i="17" s="1"/>
  <c r="Z242" i="17"/>
  <c r="AB242" i="17" s="1"/>
  <c r="AC242" i="17" s="1"/>
  <c r="R240" i="17"/>
  <c r="U240" i="17" s="1"/>
  <c r="V240" i="17" s="1"/>
  <c r="X240" i="17" s="1"/>
  <c r="Z240" i="17"/>
  <c r="AB240" i="17" s="1"/>
  <c r="AC240" i="17" s="1"/>
  <c r="R238" i="17"/>
  <c r="U238" i="17" s="1"/>
  <c r="V238" i="17" s="1"/>
  <c r="X238" i="17" s="1"/>
  <c r="Z238" i="17"/>
  <c r="AB238" i="17" s="1"/>
  <c r="AC238" i="17" s="1"/>
  <c r="R236" i="17"/>
  <c r="U236" i="17" s="1"/>
  <c r="V236" i="17" s="1"/>
  <c r="X236" i="17" s="1"/>
  <c r="Z236" i="17"/>
  <c r="AB236" i="17" s="1"/>
  <c r="AC236" i="17" s="1"/>
  <c r="R234" i="17"/>
  <c r="U234" i="17" s="1"/>
  <c r="V234" i="17" s="1"/>
  <c r="X234" i="17" s="1"/>
  <c r="Z234" i="17"/>
  <c r="AB234" i="17" s="1"/>
  <c r="AC234" i="17" s="1"/>
  <c r="R232" i="17"/>
  <c r="U232" i="17" s="1"/>
  <c r="V232" i="17" s="1"/>
  <c r="X232" i="17" s="1"/>
  <c r="Z232" i="17"/>
  <c r="AB232" i="17" s="1"/>
  <c r="AC232" i="17" s="1"/>
  <c r="R230" i="17"/>
  <c r="U230" i="17" s="1"/>
  <c r="V230" i="17" s="1"/>
  <c r="X230" i="17" s="1"/>
  <c r="Z230" i="17"/>
  <c r="AB230" i="17" s="1"/>
  <c r="AC230" i="17" s="1"/>
  <c r="R228" i="17"/>
  <c r="U228" i="17" s="1"/>
  <c r="V228" i="17" s="1"/>
  <c r="X228" i="17" s="1"/>
  <c r="Z228" i="17"/>
  <c r="AB228" i="17" s="1"/>
  <c r="AC228" i="17" s="1"/>
  <c r="R226" i="17"/>
  <c r="U226" i="17" s="1"/>
  <c r="V226" i="17" s="1"/>
  <c r="X226" i="17" s="1"/>
  <c r="Z226" i="17"/>
  <c r="AB226" i="17" s="1"/>
  <c r="AC226" i="17" s="1"/>
  <c r="R224" i="17"/>
  <c r="U224" i="17" s="1"/>
  <c r="V224" i="17" s="1"/>
  <c r="X224" i="17" s="1"/>
  <c r="Z224" i="17"/>
  <c r="AB224" i="17" s="1"/>
  <c r="AC224" i="17" s="1"/>
  <c r="R222" i="17"/>
  <c r="U222" i="17" s="1"/>
  <c r="V222" i="17" s="1"/>
  <c r="X222" i="17" s="1"/>
  <c r="Z222" i="17"/>
  <c r="AB222" i="17" s="1"/>
  <c r="AC222" i="17" s="1"/>
  <c r="R220" i="17"/>
  <c r="U220" i="17" s="1"/>
  <c r="V220" i="17" s="1"/>
  <c r="X220" i="17" s="1"/>
  <c r="Z220" i="17"/>
  <c r="AB220" i="17" s="1"/>
  <c r="AC220" i="17" s="1"/>
  <c r="R218" i="17"/>
  <c r="U218" i="17" s="1"/>
  <c r="V218" i="17" s="1"/>
  <c r="X218" i="17" s="1"/>
  <c r="Z218" i="17"/>
  <c r="AB218" i="17" s="1"/>
  <c r="AC218" i="17" s="1"/>
  <c r="R216" i="17"/>
  <c r="U216" i="17" s="1"/>
  <c r="V216" i="17" s="1"/>
  <c r="X216" i="17" s="1"/>
  <c r="Z216" i="17"/>
  <c r="AB216" i="17" s="1"/>
  <c r="AC216" i="17" s="1"/>
  <c r="R214" i="17"/>
  <c r="U214" i="17" s="1"/>
  <c r="V214" i="17" s="1"/>
  <c r="X214" i="17" s="1"/>
  <c r="Z214" i="17"/>
  <c r="AB214" i="17" s="1"/>
  <c r="AC214" i="17" s="1"/>
  <c r="R212" i="17"/>
  <c r="U212" i="17" s="1"/>
  <c r="V212" i="17" s="1"/>
  <c r="X212" i="17" s="1"/>
  <c r="Z212" i="17"/>
  <c r="AB212" i="17" s="1"/>
  <c r="AC212" i="17" s="1"/>
  <c r="R210" i="17"/>
  <c r="U210" i="17" s="1"/>
  <c r="V210" i="17" s="1"/>
  <c r="X210" i="17" s="1"/>
  <c r="Z210" i="17"/>
  <c r="AB210" i="17" s="1"/>
  <c r="AC210" i="17" s="1"/>
  <c r="R208" i="17"/>
  <c r="U208" i="17" s="1"/>
  <c r="V208" i="17" s="1"/>
  <c r="X208" i="17" s="1"/>
  <c r="Z208" i="17"/>
  <c r="AB208" i="17" s="1"/>
  <c r="AC208" i="17" s="1"/>
  <c r="R206" i="17"/>
  <c r="U206" i="17" s="1"/>
  <c r="V206" i="17" s="1"/>
  <c r="X206" i="17" s="1"/>
  <c r="Z206" i="17"/>
  <c r="AB206" i="17" s="1"/>
  <c r="AC206" i="17" s="1"/>
  <c r="R204" i="17"/>
  <c r="U204" i="17" s="1"/>
  <c r="V204" i="17" s="1"/>
  <c r="X204" i="17" s="1"/>
  <c r="Z204" i="17"/>
  <c r="AB204" i="17" s="1"/>
  <c r="AC204" i="17" s="1"/>
  <c r="R202" i="17"/>
  <c r="U202" i="17" s="1"/>
  <c r="V202" i="17" s="1"/>
  <c r="X202" i="17" s="1"/>
  <c r="Z202" i="17"/>
  <c r="AB202" i="17" s="1"/>
  <c r="AC202" i="17" s="1"/>
  <c r="R200" i="17"/>
  <c r="U200" i="17" s="1"/>
  <c r="V200" i="17" s="1"/>
  <c r="X200" i="17" s="1"/>
  <c r="Z200" i="17"/>
  <c r="AB200" i="17" s="1"/>
  <c r="AC200" i="17" s="1"/>
  <c r="Q199" i="17"/>
  <c r="J199" i="17"/>
  <c r="P199" i="17" s="1"/>
  <c r="Y199" i="17"/>
  <c r="R197" i="17"/>
  <c r="U197" i="17" s="1"/>
  <c r="V197" i="17" s="1"/>
  <c r="X197" i="17" s="1"/>
  <c r="Z197" i="17"/>
  <c r="AB197" i="17" s="1"/>
  <c r="AC197" i="17" s="1"/>
  <c r="R195" i="17"/>
  <c r="U195" i="17" s="1"/>
  <c r="V195" i="17" s="1"/>
  <c r="X195" i="17" s="1"/>
  <c r="Z195" i="17"/>
  <c r="AB195" i="17" s="1"/>
  <c r="AC195" i="17" s="1"/>
  <c r="R193" i="17"/>
  <c r="U193" i="17" s="1"/>
  <c r="V193" i="17" s="1"/>
  <c r="X193" i="17" s="1"/>
  <c r="Z193" i="17"/>
  <c r="AB193" i="17" s="1"/>
  <c r="AC193" i="17" s="1"/>
  <c r="R191" i="17"/>
  <c r="U191" i="17" s="1"/>
  <c r="V191" i="17" s="1"/>
  <c r="X191" i="17" s="1"/>
  <c r="Z191" i="17"/>
  <c r="AB191" i="17" s="1"/>
  <c r="AC191" i="17" s="1"/>
  <c r="AB289" i="17"/>
  <c r="AC289" i="17" s="1"/>
  <c r="AB273" i="17"/>
  <c r="AC273" i="17" s="1"/>
  <c r="AB257" i="17"/>
  <c r="AC257" i="17" s="1"/>
  <c r="AB241" i="17"/>
  <c r="AC241" i="17" s="1"/>
  <c r="AB225" i="17"/>
  <c r="AC225" i="17" s="1"/>
  <c r="AB209" i="17"/>
  <c r="AC209" i="17" s="1"/>
  <c r="R189" i="17"/>
  <c r="U189" i="17" s="1"/>
  <c r="V189" i="17" s="1"/>
  <c r="X189" i="17" s="1"/>
  <c r="Z189" i="17"/>
  <c r="AB189" i="17" s="1"/>
  <c r="AC189" i="17" s="1"/>
  <c r="R187" i="17"/>
  <c r="U187" i="17" s="1"/>
  <c r="V187" i="17" s="1"/>
  <c r="X187" i="17" s="1"/>
  <c r="Z187" i="17"/>
  <c r="AB187" i="17" s="1"/>
  <c r="AC187" i="17" s="1"/>
  <c r="R185" i="17"/>
  <c r="U185" i="17" s="1"/>
  <c r="V185" i="17" s="1"/>
  <c r="X185" i="17" s="1"/>
  <c r="Z185" i="17"/>
  <c r="AB185" i="17" s="1"/>
  <c r="AC185" i="17" s="1"/>
  <c r="R183" i="17"/>
  <c r="U183" i="17" s="1"/>
  <c r="V183" i="17" s="1"/>
  <c r="X183" i="17" s="1"/>
  <c r="Z183" i="17"/>
  <c r="AB183" i="17" s="1"/>
  <c r="AC183" i="17" s="1"/>
  <c r="AB184" i="17"/>
  <c r="AC184" i="17" s="1"/>
  <c r="Z6" i="17"/>
  <c r="R6" i="17"/>
  <c r="S6" i="17"/>
  <c r="H477" i="17"/>
  <c r="S475" i="17"/>
  <c r="Z475" i="17"/>
  <c r="AB475" i="17" s="1"/>
  <c r="AC475" i="17" s="1"/>
  <c r="R475" i="17"/>
  <c r="S471" i="17"/>
  <c r="Z471" i="17"/>
  <c r="AB471" i="17" s="1"/>
  <c r="AC471" i="17" s="1"/>
  <c r="R471" i="17"/>
  <c r="S469" i="17"/>
  <c r="Z469" i="17"/>
  <c r="AB469" i="17" s="1"/>
  <c r="AC469" i="17" s="1"/>
  <c r="R469" i="17"/>
  <c r="S474" i="17"/>
  <c r="Z474" i="17"/>
  <c r="AB474" i="17" s="1"/>
  <c r="AC474" i="17" s="1"/>
  <c r="R474" i="17"/>
  <c r="S470" i="17"/>
  <c r="Z470" i="17"/>
  <c r="AB470" i="17" s="1"/>
  <c r="AC470" i="17" s="1"/>
  <c r="R470" i="17"/>
  <c r="S465" i="17"/>
  <c r="R465" i="17"/>
  <c r="Z465" i="17"/>
  <c r="AB465" i="17" s="1"/>
  <c r="AC465" i="17" s="1"/>
  <c r="Z439" i="17"/>
  <c r="AB439" i="17" s="1"/>
  <c r="AC439" i="17" s="1"/>
  <c r="R439" i="17"/>
  <c r="S439" i="17"/>
  <c r="Z431" i="17"/>
  <c r="AB431" i="17" s="1"/>
  <c r="AC431" i="17" s="1"/>
  <c r="R431" i="17"/>
  <c r="S431" i="17"/>
  <c r="Y461" i="17"/>
  <c r="Q461" i="17"/>
  <c r="J461" i="17"/>
  <c r="P461" i="17" s="1"/>
  <c r="Y447" i="17"/>
  <c r="Q447" i="17"/>
  <c r="J447" i="17"/>
  <c r="P447" i="17" s="1"/>
  <c r="U409" i="17"/>
  <c r="V409" i="17" s="1"/>
  <c r="X409" i="17" s="1"/>
  <c r="AB299" i="17"/>
  <c r="AC299" i="17" s="1"/>
  <c r="R179" i="17"/>
  <c r="U179" i="17" s="1"/>
  <c r="V179" i="17" s="1"/>
  <c r="X179" i="17" s="1"/>
  <c r="Z179" i="17"/>
  <c r="AB179" i="17" s="1"/>
  <c r="AC179" i="17" s="1"/>
  <c r="R177" i="17"/>
  <c r="U177" i="17" s="1"/>
  <c r="V177" i="17" s="1"/>
  <c r="X177" i="17" s="1"/>
  <c r="Z177" i="17"/>
  <c r="AB177" i="17" s="1"/>
  <c r="AC177" i="17" s="1"/>
  <c r="R175" i="17"/>
  <c r="U175" i="17" s="1"/>
  <c r="V175" i="17" s="1"/>
  <c r="X175" i="17" s="1"/>
  <c r="Z175" i="17"/>
  <c r="AB175" i="17" s="1"/>
  <c r="AC175" i="17" s="1"/>
  <c r="R173" i="17"/>
  <c r="U173" i="17" s="1"/>
  <c r="V173" i="17" s="1"/>
  <c r="X173" i="17" s="1"/>
  <c r="Z173" i="17"/>
  <c r="AB173" i="17" s="1"/>
  <c r="AC173" i="17" s="1"/>
  <c r="R171" i="17"/>
  <c r="U171" i="17" s="1"/>
  <c r="V171" i="17" s="1"/>
  <c r="X171" i="17" s="1"/>
  <c r="Z171" i="17"/>
  <c r="AB171" i="17" s="1"/>
  <c r="AC171" i="17" s="1"/>
  <c r="R169" i="17"/>
  <c r="U169" i="17" s="1"/>
  <c r="V169" i="17" s="1"/>
  <c r="X169" i="17" s="1"/>
  <c r="Z169" i="17"/>
  <c r="AB169" i="17" s="1"/>
  <c r="AC169" i="17" s="1"/>
  <c r="R167" i="17"/>
  <c r="U167" i="17" s="1"/>
  <c r="V167" i="17" s="1"/>
  <c r="X167" i="17" s="1"/>
  <c r="Z167" i="17"/>
  <c r="AB167" i="17" s="1"/>
  <c r="AC167" i="17" s="1"/>
  <c r="R165" i="17"/>
  <c r="U165" i="17" s="1"/>
  <c r="V165" i="17" s="1"/>
  <c r="X165" i="17" s="1"/>
  <c r="Z165" i="17"/>
  <c r="AB165" i="17" s="1"/>
  <c r="AC165" i="17" s="1"/>
  <c r="R163" i="17"/>
  <c r="U163" i="17" s="1"/>
  <c r="V163" i="17" s="1"/>
  <c r="X163" i="17" s="1"/>
  <c r="Z163" i="17"/>
  <c r="AB163" i="17" s="1"/>
  <c r="AC163" i="17" s="1"/>
  <c r="R161" i="17"/>
  <c r="U161" i="17" s="1"/>
  <c r="V161" i="17" s="1"/>
  <c r="X161" i="17" s="1"/>
  <c r="Z161" i="17"/>
  <c r="AB161" i="17" s="1"/>
  <c r="AC161" i="17" s="1"/>
  <c r="R159" i="17"/>
  <c r="U159" i="17" s="1"/>
  <c r="V159" i="17" s="1"/>
  <c r="X159" i="17" s="1"/>
  <c r="Z159" i="17"/>
  <c r="AB159" i="17" s="1"/>
  <c r="AC159" i="17" s="1"/>
  <c r="R157" i="17"/>
  <c r="U157" i="17" s="1"/>
  <c r="V157" i="17" s="1"/>
  <c r="X157" i="17" s="1"/>
  <c r="Z157" i="17"/>
  <c r="AB157" i="17" s="1"/>
  <c r="AC157" i="17" s="1"/>
  <c r="R155" i="17"/>
  <c r="U155" i="17" s="1"/>
  <c r="V155" i="17" s="1"/>
  <c r="X155" i="17" s="1"/>
  <c r="Z155" i="17"/>
  <c r="AB155" i="17" s="1"/>
  <c r="AC155" i="17" s="1"/>
  <c r="R153" i="17"/>
  <c r="U153" i="17" s="1"/>
  <c r="V153" i="17" s="1"/>
  <c r="X153" i="17" s="1"/>
  <c r="Z153" i="17"/>
  <c r="AB153" i="17" s="1"/>
  <c r="AC153" i="17" s="1"/>
  <c r="R151" i="17"/>
  <c r="U151" i="17" s="1"/>
  <c r="V151" i="17" s="1"/>
  <c r="X151" i="17" s="1"/>
  <c r="Z151" i="17"/>
  <c r="AB151" i="17" s="1"/>
  <c r="AC151" i="17" s="1"/>
  <c r="R149" i="17"/>
  <c r="U149" i="17" s="1"/>
  <c r="V149" i="17" s="1"/>
  <c r="X149" i="17" s="1"/>
  <c r="Z149" i="17"/>
  <c r="AB149" i="17" s="1"/>
  <c r="AC149" i="17" s="1"/>
  <c r="R147" i="17"/>
  <c r="U147" i="17" s="1"/>
  <c r="V147" i="17" s="1"/>
  <c r="X147" i="17" s="1"/>
  <c r="Z147" i="17"/>
  <c r="AB147" i="17" s="1"/>
  <c r="AC147" i="17" s="1"/>
  <c r="R145" i="17"/>
  <c r="U145" i="17" s="1"/>
  <c r="V145" i="17" s="1"/>
  <c r="X145" i="17" s="1"/>
  <c r="Z145" i="17"/>
  <c r="AB145" i="17" s="1"/>
  <c r="AC145" i="17" s="1"/>
  <c r="R143" i="17"/>
  <c r="U143" i="17" s="1"/>
  <c r="V143" i="17" s="1"/>
  <c r="X143" i="17" s="1"/>
  <c r="Z143" i="17"/>
  <c r="AB143" i="17" s="1"/>
  <c r="AC143" i="17" s="1"/>
  <c r="R141" i="17"/>
  <c r="U141" i="17" s="1"/>
  <c r="V141" i="17" s="1"/>
  <c r="X141" i="17" s="1"/>
  <c r="Z141" i="17"/>
  <c r="AB141" i="17" s="1"/>
  <c r="AC141" i="17" s="1"/>
  <c r="R139" i="17"/>
  <c r="U139" i="17" s="1"/>
  <c r="V139" i="17" s="1"/>
  <c r="X139" i="17" s="1"/>
  <c r="Z139" i="17"/>
  <c r="AB139" i="17" s="1"/>
  <c r="AC139" i="17" s="1"/>
  <c r="R137" i="17"/>
  <c r="U137" i="17" s="1"/>
  <c r="V137" i="17" s="1"/>
  <c r="X137" i="17" s="1"/>
  <c r="Z137" i="17"/>
  <c r="AB137" i="17" s="1"/>
  <c r="AC137" i="17" s="1"/>
  <c r="R135" i="17"/>
  <c r="U135" i="17" s="1"/>
  <c r="V135" i="17" s="1"/>
  <c r="X135" i="17" s="1"/>
  <c r="Z135" i="17"/>
  <c r="AB135" i="17" s="1"/>
  <c r="AC135" i="17" s="1"/>
  <c r="AB71" i="17"/>
  <c r="AC71" i="17" s="1"/>
  <c r="AB57" i="17"/>
  <c r="AC57" i="17" s="1"/>
  <c r="AB55" i="17"/>
  <c r="AC55" i="17" s="1"/>
  <c r="AB39" i="17"/>
  <c r="AC39" i="17" s="1"/>
  <c r="AB23" i="17"/>
  <c r="AC23" i="17" s="1"/>
  <c r="AB17" i="17"/>
  <c r="AC17" i="17" s="1"/>
  <c r="AB7" i="17"/>
  <c r="AC7" i="17" s="1"/>
  <c r="U417" i="17" l="1"/>
  <c r="V417" i="17" s="1"/>
  <c r="X417" i="17" s="1"/>
  <c r="U71" i="17"/>
  <c r="V71" i="17" s="1"/>
  <c r="X71" i="17" s="1"/>
  <c r="U120" i="17"/>
  <c r="V120" i="17" s="1"/>
  <c r="X120" i="17" s="1"/>
  <c r="U80" i="17"/>
  <c r="V80" i="17" s="1"/>
  <c r="X80" i="17" s="1"/>
  <c r="U419" i="17"/>
  <c r="V419" i="17" s="1"/>
  <c r="X419" i="17" s="1"/>
  <c r="U436" i="17"/>
  <c r="V436" i="17" s="1"/>
  <c r="X436" i="17" s="1"/>
  <c r="U458" i="17"/>
  <c r="V458" i="17" s="1"/>
  <c r="X458" i="17" s="1"/>
  <c r="U31" i="17"/>
  <c r="V31" i="17" s="1"/>
  <c r="X31" i="17" s="1"/>
  <c r="U433" i="17"/>
  <c r="V433" i="17" s="1"/>
  <c r="X433" i="17" s="1"/>
  <c r="U7" i="17"/>
  <c r="V7" i="17" s="1"/>
  <c r="X7" i="17" s="1"/>
  <c r="U15" i="17"/>
  <c r="V15" i="17" s="1"/>
  <c r="X15" i="17" s="1"/>
  <c r="U23" i="17"/>
  <c r="V23" i="17" s="1"/>
  <c r="X23" i="17" s="1"/>
  <c r="U39" i="17"/>
  <c r="V39" i="17" s="1"/>
  <c r="X39" i="17" s="1"/>
  <c r="U47" i="17"/>
  <c r="V47" i="17" s="1"/>
  <c r="X47" i="17" s="1"/>
  <c r="U55" i="17"/>
  <c r="V55" i="17" s="1"/>
  <c r="X55" i="17" s="1"/>
  <c r="U63" i="17"/>
  <c r="V63" i="17" s="1"/>
  <c r="X63" i="17" s="1"/>
  <c r="U79" i="17"/>
  <c r="V79" i="17" s="1"/>
  <c r="X79" i="17" s="1"/>
  <c r="U430" i="17"/>
  <c r="V430" i="17" s="1"/>
  <c r="X430" i="17" s="1"/>
  <c r="U459" i="17"/>
  <c r="V459" i="17" s="1"/>
  <c r="X459" i="17" s="1"/>
  <c r="U450" i="17"/>
  <c r="V450" i="17" s="1"/>
  <c r="X450" i="17" s="1"/>
  <c r="U398" i="17"/>
  <c r="V398" i="17" s="1"/>
  <c r="X398" i="17" s="1"/>
  <c r="U411" i="17"/>
  <c r="V411" i="17" s="1"/>
  <c r="X411" i="17" s="1"/>
  <c r="U427" i="17"/>
  <c r="V427" i="17" s="1"/>
  <c r="X427" i="17" s="1"/>
  <c r="U444" i="17"/>
  <c r="V444" i="17" s="1"/>
  <c r="X444" i="17" s="1"/>
  <c r="U405" i="17"/>
  <c r="V405" i="17" s="1"/>
  <c r="X405" i="17" s="1"/>
  <c r="U413" i="17"/>
  <c r="V413" i="17" s="1"/>
  <c r="X413" i="17" s="1"/>
  <c r="U421" i="17"/>
  <c r="V421" i="17" s="1"/>
  <c r="X421" i="17" s="1"/>
  <c r="U104" i="17"/>
  <c r="V104" i="17" s="1"/>
  <c r="X104" i="17" s="1"/>
  <c r="U451" i="17"/>
  <c r="V451" i="17" s="1"/>
  <c r="X451" i="17" s="1"/>
  <c r="U88" i="17"/>
  <c r="V88" i="17" s="1"/>
  <c r="X88" i="17" s="1"/>
  <c r="U13" i="17"/>
  <c r="V13" i="17" s="1"/>
  <c r="X13" i="17" s="1"/>
  <c r="U21" i="17"/>
  <c r="V21" i="17" s="1"/>
  <c r="X21" i="17" s="1"/>
  <c r="U29" i="17"/>
  <c r="V29" i="17" s="1"/>
  <c r="X29" i="17" s="1"/>
  <c r="U37" i="17"/>
  <c r="V37" i="17" s="1"/>
  <c r="X37" i="17" s="1"/>
  <c r="U45" i="17"/>
  <c r="V45" i="17" s="1"/>
  <c r="X45" i="17" s="1"/>
  <c r="U53" i="17"/>
  <c r="V53" i="17" s="1"/>
  <c r="X53" i="17" s="1"/>
  <c r="U61" i="17"/>
  <c r="V61" i="17" s="1"/>
  <c r="X61" i="17" s="1"/>
  <c r="U69" i="17"/>
  <c r="V69" i="17" s="1"/>
  <c r="X69" i="17" s="1"/>
  <c r="U77" i="17"/>
  <c r="V77" i="17" s="1"/>
  <c r="X77" i="17" s="1"/>
  <c r="U10" i="17"/>
  <c r="V10" i="17" s="1"/>
  <c r="X10" i="17" s="1"/>
  <c r="U26" i="17"/>
  <c r="V26" i="17" s="1"/>
  <c r="X26" i="17" s="1"/>
  <c r="U42" i="17"/>
  <c r="V42" i="17" s="1"/>
  <c r="X42" i="17" s="1"/>
  <c r="U58" i="17"/>
  <c r="V58" i="17" s="1"/>
  <c r="X58" i="17" s="1"/>
  <c r="U440" i="17"/>
  <c r="V440" i="17" s="1"/>
  <c r="X440" i="17" s="1"/>
  <c r="U74" i="17"/>
  <c r="V74" i="17" s="1"/>
  <c r="X74" i="17" s="1"/>
  <c r="U81" i="17"/>
  <c r="V81" i="17" s="1"/>
  <c r="X81" i="17" s="1"/>
  <c r="U89" i="17"/>
  <c r="V89" i="17" s="1"/>
  <c r="X89" i="17" s="1"/>
  <c r="U437" i="17"/>
  <c r="V437" i="17" s="1"/>
  <c r="X437" i="17" s="1"/>
  <c r="U9" i="17"/>
  <c r="V9" i="17" s="1"/>
  <c r="X9" i="17" s="1"/>
  <c r="U17" i="17"/>
  <c r="V17" i="17" s="1"/>
  <c r="X17" i="17" s="1"/>
  <c r="U57" i="17"/>
  <c r="V57" i="17" s="1"/>
  <c r="X57" i="17" s="1"/>
  <c r="U65" i="17"/>
  <c r="V65" i="17" s="1"/>
  <c r="X65" i="17" s="1"/>
  <c r="U86" i="17"/>
  <c r="V86" i="17" s="1"/>
  <c r="X86" i="17" s="1"/>
  <c r="U27" i="17"/>
  <c r="V27" i="17" s="1"/>
  <c r="X27" i="17" s="1"/>
  <c r="U462" i="17"/>
  <c r="V462" i="17" s="1"/>
  <c r="X462" i="17" s="1"/>
  <c r="U93" i="17"/>
  <c r="V93" i="17" s="1"/>
  <c r="X93" i="17" s="1"/>
  <c r="U95" i="17"/>
  <c r="V95" i="17" s="1"/>
  <c r="X95" i="17" s="1"/>
  <c r="U97" i="17"/>
  <c r="V97" i="17" s="1"/>
  <c r="X97" i="17" s="1"/>
  <c r="U99" i="17"/>
  <c r="V99" i="17" s="1"/>
  <c r="X99" i="17" s="1"/>
  <c r="U101" i="17"/>
  <c r="V101" i="17" s="1"/>
  <c r="X101" i="17" s="1"/>
  <c r="U103" i="17"/>
  <c r="V103" i="17" s="1"/>
  <c r="X103" i="17" s="1"/>
  <c r="U105" i="17"/>
  <c r="V105" i="17" s="1"/>
  <c r="X105" i="17" s="1"/>
  <c r="U107" i="17"/>
  <c r="V107" i="17" s="1"/>
  <c r="X107" i="17" s="1"/>
  <c r="U109" i="17"/>
  <c r="V109" i="17" s="1"/>
  <c r="X109" i="17" s="1"/>
  <c r="U111" i="17"/>
  <c r="V111" i="17" s="1"/>
  <c r="X111" i="17" s="1"/>
  <c r="U113" i="17"/>
  <c r="V113" i="17" s="1"/>
  <c r="X113" i="17" s="1"/>
  <c r="U115" i="17"/>
  <c r="V115" i="17" s="1"/>
  <c r="X115" i="17" s="1"/>
  <c r="U117" i="17"/>
  <c r="V117" i="17" s="1"/>
  <c r="X117" i="17" s="1"/>
  <c r="U119" i="17"/>
  <c r="V119" i="17" s="1"/>
  <c r="X119" i="17" s="1"/>
  <c r="U121" i="17"/>
  <c r="V121" i="17" s="1"/>
  <c r="X121" i="17" s="1"/>
  <c r="U123" i="17"/>
  <c r="V123" i="17" s="1"/>
  <c r="X123" i="17" s="1"/>
  <c r="U125" i="17"/>
  <c r="V125" i="17" s="1"/>
  <c r="X125" i="17" s="1"/>
  <c r="U127" i="17"/>
  <c r="V127" i="17" s="1"/>
  <c r="X127" i="17" s="1"/>
  <c r="U129" i="17"/>
  <c r="V129" i="17" s="1"/>
  <c r="X129" i="17" s="1"/>
  <c r="U131" i="17"/>
  <c r="V131" i="17" s="1"/>
  <c r="X131" i="17" s="1"/>
  <c r="U133" i="17"/>
  <c r="V133" i="17" s="1"/>
  <c r="X133" i="17" s="1"/>
  <c r="U448" i="17"/>
  <c r="V448" i="17" s="1"/>
  <c r="X448" i="17" s="1"/>
  <c r="U452" i="17"/>
  <c r="V452" i="17" s="1"/>
  <c r="X452" i="17" s="1"/>
  <c r="U463" i="17"/>
  <c r="V463" i="17" s="1"/>
  <c r="X463" i="17" s="1"/>
  <c r="U43" i="17"/>
  <c r="V43" i="17" s="1"/>
  <c r="X43" i="17" s="1"/>
  <c r="U51" i="17"/>
  <c r="V51" i="17" s="1"/>
  <c r="X51" i="17" s="1"/>
  <c r="U96" i="17"/>
  <c r="V96" i="17" s="1"/>
  <c r="X96" i="17" s="1"/>
  <c r="U112" i="17"/>
  <c r="V112" i="17" s="1"/>
  <c r="X112" i="17" s="1"/>
  <c r="U128" i="17"/>
  <c r="V128" i="17" s="1"/>
  <c r="X128" i="17" s="1"/>
  <c r="U460" i="17"/>
  <c r="V460" i="17" s="1"/>
  <c r="X460" i="17" s="1"/>
  <c r="U18" i="17"/>
  <c r="V18" i="17" s="1"/>
  <c r="X18" i="17" s="1"/>
  <c r="U34" i="17"/>
  <c r="V34" i="17" s="1"/>
  <c r="X34" i="17" s="1"/>
  <c r="U50" i="17"/>
  <c r="V50" i="17" s="1"/>
  <c r="X50" i="17" s="1"/>
  <c r="U66" i="17"/>
  <c r="V66" i="17" s="1"/>
  <c r="X66" i="17" s="1"/>
  <c r="U85" i="17"/>
  <c r="V85" i="17" s="1"/>
  <c r="X85" i="17" s="1"/>
  <c r="U410" i="17"/>
  <c r="V410" i="17" s="1"/>
  <c r="X410" i="17" s="1"/>
  <c r="U426" i="17"/>
  <c r="V426" i="17" s="1"/>
  <c r="X426" i="17" s="1"/>
  <c r="U19" i="17"/>
  <c r="V19" i="17" s="1"/>
  <c r="X19" i="17" s="1"/>
  <c r="U25" i="17"/>
  <c r="V25" i="17" s="1"/>
  <c r="X25" i="17" s="1"/>
  <c r="U33" i="17"/>
  <c r="V33" i="17" s="1"/>
  <c r="X33" i="17" s="1"/>
  <c r="U35" i="17"/>
  <c r="V35" i="17" s="1"/>
  <c r="X35" i="17" s="1"/>
  <c r="U41" i="17"/>
  <c r="V41" i="17" s="1"/>
  <c r="X41" i="17" s="1"/>
  <c r="U49" i="17"/>
  <c r="V49" i="17" s="1"/>
  <c r="X49" i="17" s="1"/>
  <c r="U59" i="17"/>
  <c r="V59" i="17" s="1"/>
  <c r="X59" i="17" s="1"/>
  <c r="U67" i="17"/>
  <c r="V67" i="17" s="1"/>
  <c r="X67" i="17" s="1"/>
  <c r="U73" i="17"/>
  <c r="V73" i="17" s="1"/>
  <c r="X73" i="17" s="1"/>
  <c r="U75" i="17"/>
  <c r="V75" i="17" s="1"/>
  <c r="X75" i="17" s="1"/>
  <c r="U394" i="17"/>
  <c r="V394" i="17" s="1"/>
  <c r="X394" i="17" s="1"/>
  <c r="U400" i="17"/>
  <c r="V400" i="17" s="1"/>
  <c r="X400" i="17" s="1"/>
  <c r="U402" i="17"/>
  <c r="V402" i="17" s="1"/>
  <c r="X402" i="17" s="1"/>
  <c r="U432" i="17"/>
  <c r="V432" i="17" s="1"/>
  <c r="X432" i="17" s="1"/>
  <c r="U438" i="17"/>
  <c r="V438" i="17" s="1"/>
  <c r="X438" i="17" s="1"/>
  <c r="U446" i="17"/>
  <c r="V446" i="17" s="1"/>
  <c r="X446" i="17" s="1"/>
  <c r="U92" i="17"/>
  <c r="V92" i="17" s="1"/>
  <c r="X92" i="17" s="1"/>
  <c r="U94" i="17"/>
  <c r="V94" i="17" s="1"/>
  <c r="X94" i="17" s="1"/>
  <c r="U98" i="17"/>
  <c r="V98" i="17" s="1"/>
  <c r="X98" i="17" s="1"/>
  <c r="U100" i="17"/>
  <c r="V100" i="17" s="1"/>
  <c r="X100" i="17" s="1"/>
  <c r="U102" i="17"/>
  <c r="V102" i="17" s="1"/>
  <c r="X102" i="17" s="1"/>
  <c r="U106" i="17"/>
  <c r="V106" i="17" s="1"/>
  <c r="X106" i="17" s="1"/>
  <c r="U108" i="17"/>
  <c r="V108" i="17" s="1"/>
  <c r="X108" i="17" s="1"/>
  <c r="U110" i="17"/>
  <c r="V110" i="17" s="1"/>
  <c r="X110" i="17" s="1"/>
  <c r="U114" i="17"/>
  <c r="V114" i="17" s="1"/>
  <c r="X114" i="17" s="1"/>
  <c r="U116" i="17"/>
  <c r="V116" i="17" s="1"/>
  <c r="X116" i="17" s="1"/>
  <c r="U118" i="17"/>
  <c r="V118" i="17" s="1"/>
  <c r="X118" i="17" s="1"/>
  <c r="U122" i="17"/>
  <c r="V122" i="17" s="1"/>
  <c r="X122" i="17" s="1"/>
  <c r="U124" i="17"/>
  <c r="V124" i="17" s="1"/>
  <c r="X124" i="17" s="1"/>
  <c r="U126" i="17"/>
  <c r="V126" i="17" s="1"/>
  <c r="X126" i="17" s="1"/>
  <c r="U130" i="17"/>
  <c r="V130" i="17" s="1"/>
  <c r="X130" i="17" s="1"/>
  <c r="U132" i="17"/>
  <c r="V132" i="17" s="1"/>
  <c r="X132" i="17" s="1"/>
  <c r="U449" i="17"/>
  <c r="V449" i="17" s="1"/>
  <c r="X449" i="17" s="1"/>
  <c r="U8" i="17"/>
  <c r="V8" i="17" s="1"/>
  <c r="X8" i="17" s="1"/>
  <c r="U16" i="17"/>
  <c r="V16" i="17" s="1"/>
  <c r="X16" i="17" s="1"/>
  <c r="U24" i="17"/>
  <c r="V24" i="17" s="1"/>
  <c r="X24" i="17" s="1"/>
  <c r="U32" i="17"/>
  <c r="V32" i="17" s="1"/>
  <c r="X32" i="17" s="1"/>
  <c r="U40" i="17"/>
  <c r="V40" i="17" s="1"/>
  <c r="X40" i="17" s="1"/>
  <c r="U48" i="17"/>
  <c r="V48" i="17" s="1"/>
  <c r="X48" i="17" s="1"/>
  <c r="U56" i="17"/>
  <c r="V56" i="17" s="1"/>
  <c r="X56" i="17" s="1"/>
  <c r="U64" i="17"/>
  <c r="V64" i="17" s="1"/>
  <c r="X64" i="17" s="1"/>
  <c r="U72" i="17"/>
  <c r="V72" i="17" s="1"/>
  <c r="X72" i="17" s="1"/>
  <c r="U84" i="17"/>
  <c r="V84" i="17" s="1"/>
  <c r="X84" i="17" s="1"/>
  <c r="U453" i="17"/>
  <c r="V453" i="17" s="1"/>
  <c r="X453" i="17" s="1"/>
  <c r="U454" i="17"/>
  <c r="V454" i="17" s="1"/>
  <c r="X454" i="17" s="1"/>
  <c r="U406" i="17"/>
  <c r="V406" i="17" s="1"/>
  <c r="X406" i="17" s="1"/>
  <c r="U422" i="17"/>
  <c r="V422" i="17" s="1"/>
  <c r="X422" i="17" s="1"/>
  <c r="U14" i="17"/>
  <c r="V14" i="17" s="1"/>
  <c r="X14" i="17" s="1"/>
  <c r="U22" i="17"/>
  <c r="V22" i="17" s="1"/>
  <c r="X22" i="17" s="1"/>
  <c r="U30" i="17"/>
  <c r="V30" i="17" s="1"/>
  <c r="X30" i="17" s="1"/>
  <c r="U38" i="17"/>
  <c r="V38" i="17" s="1"/>
  <c r="X38" i="17" s="1"/>
  <c r="U46" i="17"/>
  <c r="V46" i="17" s="1"/>
  <c r="X46" i="17" s="1"/>
  <c r="U54" i="17"/>
  <c r="V54" i="17" s="1"/>
  <c r="X54" i="17" s="1"/>
  <c r="U62" i="17"/>
  <c r="V62" i="17" s="1"/>
  <c r="X62" i="17" s="1"/>
  <c r="U70" i="17"/>
  <c r="V70" i="17" s="1"/>
  <c r="X70" i="17" s="1"/>
  <c r="U78" i="17"/>
  <c r="V78" i="17" s="1"/>
  <c r="X78" i="17" s="1"/>
  <c r="U83" i="17"/>
  <c r="V83" i="17" s="1"/>
  <c r="X83" i="17" s="1"/>
  <c r="U87" i="17"/>
  <c r="V87" i="17" s="1"/>
  <c r="X87" i="17" s="1"/>
  <c r="U91" i="17"/>
  <c r="V91" i="17" s="1"/>
  <c r="X91" i="17" s="1"/>
  <c r="U401" i="17"/>
  <c r="V401" i="17" s="1"/>
  <c r="X401" i="17" s="1"/>
  <c r="U418" i="17"/>
  <c r="V418" i="17" s="1"/>
  <c r="X418" i="17" s="1"/>
  <c r="U429" i="17"/>
  <c r="V429" i="17" s="1"/>
  <c r="X429" i="17" s="1"/>
  <c r="U445" i="17"/>
  <c r="V445" i="17" s="1"/>
  <c r="X445" i="17" s="1"/>
  <c r="U473" i="17"/>
  <c r="V473" i="17" s="1"/>
  <c r="X473" i="17" s="1"/>
  <c r="U393" i="17"/>
  <c r="V393" i="17" s="1"/>
  <c r="X393" i="17" s="1"/>
  <c r="U12" i="17"/>
  <c r="V12" i="17" s="1"/>
  <c r="X12" i="17" s="1"/>
  <c r="U20" i="17"/>
  <c r="V20" i="17" s="1"/>
  <c r="X20" i="17" s="1"/>
  <c r="U28" i="17"/>
  <c r="V28" i="17" s="1"/>
  <c r="X28" i="17" s="1"/>
  <c r="U36" i="17"/>
  <c r="V36" i="17" s="1"/>
  <c r="X36" i="17" s="1"/>
  <c r="U44" i="17"/>
  <c r="V44" i="17" s="1"/>
  <c r="X44" i="17" s="1"/>
  <c r="U52" i="17"/>
  <c r="V52" i="17" s="1"/>
  <c r="X52" i="17" s="1"/>
  <c r="U60" i="17"/>
  <c r="V60" i="17" s="1"/>
  <c r="X60" i="17" s="1"/>
  <c r="U68" i="17"/>
  <c r="V68" i="17" s="1"/>
  <c r="X68" i="17" s="1"/>
  <c r="U76" i="17"/>
  <c r="V76" i="17" s="1"/>
  <c r="X76" i="17" s="1"/>
  <c r="U82" i="17"/>
  <c r="V82" i="17" s="1"/>
  <c r="X82" i="17" s="1"/>
  <c r="U90" i="17"/>
  <c r="V90" i="17" s="1"/>
  <c r="X90" i="17" s="1"/>
  <c r="U397" i="17"/>
  <c r="V397" i="17" s="1"/>
  <c r="X397" i="17" s="1"/>
  <c r="U414" i="17"/>
  <c r="V414" i="17" s="1"/>
  <c r="X414" i="17" s="1"/>
  <c r="U428" i="17"/>
  <c r="V428" i="17" s="1"/>
  <c r="X428" i="17" s="1"/>
  <c r="U441" i="17"/>
  <c r="V441" i="17" s="1"/>
  <c r="X441" i="17" s="1"/>
  <c r="U455" i="17"/>
  <c r="V455" i="17" s="1"/>
  <c r="X455" i="17" s="1"/>
  <c r="U11" i="17"/>
  <c r="V11" i="17" s="1"/>
  <c r="X11" i="17" s="1"/>
  <c r="U424" i="17"/>
  <c r="V424" i="17" s="1"/>
  <c r="X424" i="17" s="1"/>
  <c r="U443" i="17"/>
  <c r="V443" i="17" s="1"/>
  <c r="X443" i="17" s="1"/>
  <c r="U396" i="17"/>
  <c r="V396" i="17" s="1"/>
  <c r="X396" i="17" s="1"/>
  <c r="U407" i="17"/>
  <c r="V407" i="17" s="1"/>
  <c r="X407" i="17" s="1"/>
  <c r="U415" i="17"/>
  <c r="V415" i="17" s="1"/>
  <c r="X415" i="17" s="1"/>
  <c r="U423" i="17"/>
  <c r="V423" i="17" s="1"/>
  <c r="X423" i="17" s="1"/>
  <c r="U425" i="17"/>
  <c r="V425" i="17" s="1"/>
  <c r="X425" i="17" s="1"/>
  <c r="U434" i="17"/>
  <c r="V434" i="17" s="1"/>
  <c r="X434" i="17" s="1"/>
  <c r="U442" i="17"/>
  <c r="V442" i="17" s="1"/>
  <c r="X442" i="17" s="1"/>
  <c r="U456" i="17"/>
  <c r="V456" i="17" s="1"/>
  <c r="X456" i="17" s="1"/>
  <c r="U457" i="17"/>
  <c r="V457" i="17" s="1"/>
  <c r="X457" i="17" s="1"/>
  <c r="U466" i="17"/>
  <c r="V466" i="17" s="1"/>
  <c r="X466" i="17" s="1"/>
  <c r="U467" i="17"/>
  <c r="V467" i="17" s="1"/>
  <c r="X467" i="17" s="1"/>
  <c r="U6" i="17"/>
  <c r="V6" i="17" s="1"/>
  <c r="Y477" i="17"/>
  <c r="U403" i="17"/>
  <c r="V403" i="17" s="1"/>
  <c r="X403" i="17" s="1"/>
  <c r="U395" i="17"/>
  <c r="V395" i="17" s="1"/>
  <c r="X395" i="17" s="1"/>
  <c r="J477" i="17"/>
  <c r="U431" i="17"/>
  <c r="V431" i="17" s="1"/>
  <c r="X431" i="17" s="1"/>
  <c r="U471" i="17"/>
  <c r="V471" i="17" s="1"/>
  <c r="X471" i="17" s="1"/>
  <c r="U439" i="17"/>
  <c r="V439" i="17" s="1"/>
  <c r="X439" i="17" s="1"/>
  <c r="U474" i="17"/>
  <c r="V474" i="17" s="1"/>
  <c r="X474" i="17" s="1"/>
  <c r="U469" i="17"/>
  <c r="V469" i="17" s="1"/>
  <c r="X469" i="17" s="1"/>
  <c r="U404" i="17"/>
  <c r="V404" i="17" s="1"/>
  <c r="X404" i="17" s="1"/>
  <c r="U475" i="17"/>
  <c r="V475" i="17" s="1"/>
  <c r="X475" i="17" s="1"/>
  <c r="U464" i="17"/>
  <c r="V464" i="17" s="1"/>
  <c r="X464" i="17" s="1"/>
  <c r="U468" i="17"/>
  <c r="V468" i="17" s="1"/>
  <c r="X468" i="17" s="1"/>
  <c r="U470" i="17"/>
  <c r="V470" i="17" s="1"/>
  <c r="X470" i="17" s="1"/>
  <c r="U472" i="17"/>
  <c r="V472" i="17" s="1"/>
  <c r="X472" i="17" s="1"/>
  <c r="U408" i="17"/>
  <c r="V408" i="17" s="1"/>
  <c r="X408" i="17" s="1"/>
  <c r="U412" i="17"/>
  <c r="V412" i="17" s="1"/>
  <c r="X412" i="17" s="1"/>
  <c r="U435" i="17"/>
  <c r="V435" i="17" s="1"/>
  <c r="X435" i="17" s="1"/>
  <c r="U465" i="17"/>
  <c r="V465" i="17" s="1"/>
  <c r="X465" i="17" s="1"/>
  <c r="U399" i="17"/>
  <c r="V399" i="17" s="1"/>
  <c r="X399" i="17" s="1"/>
  <c r="U416" i="17"/>
  <c r="V416" i="17" s="1"/>
  <c r="X416" i="17" s="1"/>
  <c r="U420" i="17"/>
  <c r="V420" i="17" s="1"/>
  <c r="X420" i="17" s="1"/>
  <c r="S447" i="17"/>
  <c r="Z447" i="17"/>
  <c r="AB447" i="17" s="1"/>
  <c r="AC447" i="17" s="1"/>
  <c r="R447" i="17"/>
  <c r="P477" i="17"/>
  <c r="Z461" i="17"/>
  <c r="AB461" i="17" s="1"/>
  <c r="AC461" i="17" s="1"/>
  <c r="R461" i="17"/>
  <c r="S461" i="17"/>
  <c r="AB6" i="17"/>
  <c r="Q477" i="17"/>
  <c r="Z199" i="17"/>
  <c r="AB199" i="17" s="1"/>
  <c r="AC199" i="17" s="1"/>
  <c r="R199" i="17"/>
  <c r="U199" i="17" s="1"/>
  <c r="S477" i="17" l="1"/>
  <c r="U447" i="17"/>
  <c r="V447" i="17" s="1"/>
  <c r="X447" i="17" s="1"/>
  <c r="U461" i="17"/>
  <c r="V461" i="17" s="1"/>
  <c r="X461" i="17" s="1"/>
  <c r="Z477" i="17"/>
  <c r="V199" i="17"/>
  <c r="X199" i="17" s="1"/>
  <c r="R477" i="17"/>
  <c r="AB477" i="17"/>
  <c r="AC6" i="17"/>
  <c r="AC477" i="17" s="1"/>
  <c r="X6" i="17"/>
  <c r="V477" i="17" l="1"/>
  <c r="U477" i="17"/>
  <c r="X477" i="17"/>
  <c r="N30" i="8"/>
  <c r="O263" i="8" l="1"/>
  <c r="C1048268" i="8"/>
  <c r="T263" i="8"/>
  <c r="M263" i="8"/>
  <c r="K263" i="8"/>
  <c r="N262" i="8"/>
  <c r="L262" i="8"/>
  <c r="I262" i="8"/>
  <c r="H262" i="8"/>
  <c r="N261" i="8"/>
  <c r="L261" i="8"/>
  <c r="I261" i="8"/>
  <c r="H261" i="8"/>
  <c r="N260" i="8"/>
  <c r="L260" i="8"/>
  <c r="I260" i="8"/>
  <c r="H260" i="8"/>
  <c r="N259" i="8"/>
  <c r="L259" i="8"/>
  <c r="I259" i="8"/>
  <c r="H259" i="8"/>
  <c r="N258" i="8"/>
  <c r="L258" i="8"/>
  <c r="I258" i="8"/>
  <c r="H258" i="8"/>
  <c r="N257" i="8"/>
  <c r="L257" i="8"/>
  <c r="I257" i="8"/>
  <c r="H257" i="8"/>
  <c r="N256" i="8"/>
  <c r="L256" i="8"/>
  <c r="I256" i="8"/>
  <c r="H256" i="8"/>
  <c r="N255" i="8"/>
  <c r="L255" i="8"/>
  <c r="I255" i="8"/>
  <c r="H255" i="8"/>
  <c r="N254" i="8"/>
  <c r="L254" i="8"/>
  <c r="I254" i="8"/>
  <c r="H254" i="8"/>
  <c r="N253" i="8"/>
  <c r="L253" i="8"/>
  <c r="I253" i="8"/>
  <c r="H253" i="8"/>
  <c r="N252" i="8"/>
  <c r="L252" i="8"/>
  <c r="I252" i="8"/>
  <c r="H252" i="8"/>
  <c r="N251" i="8"/>
  <c r="L251" i="8"/>
  <c r="I251" i="8"/>
  <c r="H251" i="8"/>
  <c r="N250" i="8"/>
  <c r="L250" i="8"/>
  <c r="I250" i="8"/>
  <c r="H250" i="8"/>
  <c r="N249" i="8"/>
  <c r="L249" i="8"/>
  <c r="I249" i="8"/>
  <c r="H249" i="8"/>
  <c r="N248" i="8"/>
  <c r="L248" i="8"/>
  <c r="I248" i="8"/>
  <c r="H248" i="8"/>
  <c r="N247" i="8"/>
  <c r="L247" i="8"/>
  <c r="I247" i="8"/>
  <c r="H247" i="8"/>
  <c r="N246" i="8"/>
  <c r="L246" i="8"/>
  <c r="I246" i="8"/>
  <c r="H246" i="8"/>
  <c r="N245" i="8"/>
  <c r="L245" i="8"/>
  <c r="I245" i="8"/>
  <c r="H245" i="8"/>
  <c r="N244" i="8"/>
  <c r="L244" i="8"/>
  <c r="I244" i="8"/>
  <c r="H244" i="8"/>
  <c r="N243" i="8"/>
  <c r="L243" i="8"/>
  <c r="I243" i="8"/>
  <c r="H243" i="8"/>
  <c r="N242" i="8"/>
  <c r="L242" i="8"/>
  <c r="I242" i="8"/>
  <c r="H242" i="8"/>
  <c r="N241" i="8"/>
  <c r="L241" i="8"/>
  <c r="I241" i="8"/>
  <c r="H241" i="8"/>
  <c r="N240" i="8"/>
  <c r="L240" i="8"/>
  <c r="I240" i="8"/>
  <c r="H240" i="8"/>
  <c r="N239" i="8"/>
  <c r="L239" i="8"/>
  <c r="I239" i="8"/>
  <c r="H239" i="8"/>
  <c r="N238" i="8"/>
  <c r="L238" i="8"/>
  <c r="I238" i="8"/>
  <c r="H238" i="8"/>
  <c r="N237" i="8"/>
  <c r="L237" i="8"/>
  <c r="I237" i="8"/>
  <c r="H237" i="8"/>
  <c r="N236" i="8"/>
  <c r="L236" i="8"/>
  <c r="I236" i="8"/>
  <c r="H236" i="8"/>
  <c r="N235" i="8"/>
  <c r="L235" i="8"/>
  <c r="I235" i="8"/>
  <c r="H235" i="8"/>
  <c r="N234" i="8"/>
  <c r="L234" i="8"/>
  <c r="I234" i="8"/>
  <c r="H234" i="8"/>
  <c r="N233" i="8"/>
  <c r="L233" i="8"/>
  <c r="I233" i="8"/>
  <c r="H233" i="8"/>
  <c r="N232" i="8"/>
  <c r="L232" i="8"/>
  <c r="I232" i="8"/>
  <c r="H232" i="8"/>
  <c r="N231" i="8"/>
  <c r="L231" i="8"/>
  <c r="I231" i="8"/>
  <c r="H231" i="8"/>
  <c r="N230" i="8"/>
  <c r="L230" i="8"/>
  <c r="I230" i="8"/>
  <c r="H230" i="8"/>
  <c r="N229" i="8"/>
  <c r="L229" i="8"/>
  <c r="I229" i="8"/>
  <c r="H229" i="8"/>
  <c r="N228" i="8"/>
  <c r="L228" i="8"/>
  <c r="I228" i="8"/>
  <c r="H228" i="8"/>
  <c r="N227" i="8"/>
  <c r="L227" i="8"/>
  <c r="I227" i="8"/>
  <c r="H227" i="8"/>
  <c r="N226" i="8"/>
  <c r="L226" i="8"/>
  <c r="I226" i="8"/>
  <c r="H226" i="8"/>
  <c r="N225" i="8"/>
  <c r="L225" i="8"/>
  <c r="I225" i="8"/>
  <c r="H225" i="8"/>
  <c r="N224" i="8"/>
  <c r="L224" i="8"/>
  <c r="I224" i="8"/>
  <c r="H224" i="8"/>
  <c r="N223" i="8"/>
  <c r="L223" i="8"/>
  <c r="I223" i="8"/>
  <c r="H223" i="8"/>
  <c r="N222" i="8"/>
  <c r="L222" i="8"/>
  <c r="I222" i="8"/>
  <c r="H222" i="8"/>
  <c r="N221" i="8"/>
  <c r="L221" i="8"/>
  <c r="I221" i="8"/>
  <c r="H221" i="8"/>
  <c r="N220" i="8"/>
  <c r="L220" i="8"/>
  <c r="I220" i="8"/>
  <c r="H220" i="8"/>
  <c r="N219" i="8"/>
  <c r="L219" i="8"/>
  <c r="I219" i="8"/>
  <c r="H219" i="8"/>
  <c r="N218" i="8"/>
  <c r="L218" i="8"/>
  <c r="I218" i="8"/>
  <c r="H218" i="8"/>
  <c r="N217" i="8"/>
  <c r="L217" i="8"/>
  <c r="I217" i="8"/>
  <c r="H217" i="8"/>
  <c r="N216" i="8"/>
  <c r="L216" i="8"/>
  <c r="I216" i="8"/>
  <c r="H216" i="8"/>
  <c r="N215" i="8"/>
  <c r="L215" i="8"/>
  <c r="I215" i="8"/>
  <c r="H215" i="8"/>
  <c r="N214" i="8"/>
  <c r="L214" i="8"/>
  <c r="I214" i="8"/>
  <c r="H214" i="8"/>
  <c r="N213" i="8"/>
  <c r="L213" i="8"/>
  <c r="I213" i="8"/>
  <c r="H213" i="8"/>
  <c r="N212" i="8"/>
  <c r="L212" i="8"/>
  <c r="I212" i="8"/>
  <c r="H212" i="8"/>
  <c r="N211" i="8"/>
  <c r="L211" i="8"/>
  <c r="I211" i="8"/>
  <c r="H211" i="8"/>
  <c r="N210" i="8"/>
  <c r="L210" i="8"/>
  <c r="I210" i="8"/>
  <c r="H210" i="8"/>
  <c r="N209" i="8"/>
  <c r="L209" i="8"/>
  <c r="I209" i="8"/>
  <c r="H209" i="8"/>
  <c r="N208" i="8"/>
  <c r="L208" i="8"/>
  <c r="I208" i="8"/>
  <c r="H208" i="8"/>
  <c r="L207" i="8"/>
  <c r="B207" i="8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N206" i="8"/>
  <c r="L206" i="8"/>
  <c r="I206" i="8"/>
  <c r="H206" i="8"/>
  <c r="N205" i="8"/>
  <c r="L205" i="8"/>
  <c r="I205" i="8"/>
  <c r="H205" i="8"/>
  <c r="N204" i="8"/>
  <c r="L204" i="8"/>
  <c r="I204" i="8"/>
  <c r="H204" i="8"/>
  <c r="N203" i="8"/>
  <c r="L203" i="8"/>
  <c r="I203" i="8"/>
  <c r="H203" i="8"/>
  <c r="N202" i="8"/>
  <c r="L202" i="8"/>
  <c r="I202" i="8"/>
  <c r="H202" i="8"/>
  <c r="N201" i="8"/>
  <c r="L201" i="8"/>
  <c r="I201" i="8"/>
  <c r="H201" i="8"/>
  <c r="N200" i="8"/>
  <c r="L200" i="8"/>
  <c r="I200" i="8"/>
  <c r="H200" i="8"/>
  <c r="N199" i="8"/>
  <c r="L199" i="8"/>
  <c r="I199" i="8"/>
  <c r="H199" i="8"/>
  <c r="N198" i="8"/>
  <c r="L198" i="8"/>
  <c r="I198" i="8"/>
  <c r="H198" i="8"/>
  <c r="N197" i="8"/>
  <c r="L197" i="8"/>
  <c r="I197" i="8"/>
  <c r="H197" i="8"/>
  <c r="N196" i="8"/>
  <c r="L196" i="8"/>
  <c r="I196" i="8"/>
  <c r="H196" i="8"/>
  <c r="N195" i="8"/>
  <c r="L195" i="8"/>
  <c r="I195" i="8"/>
  <c r="H195" i="8"/>
  <c r="N194" i="8"/>
  <c r="L194" i="8"/>
  <c r="I194" i="8"/>
  <c r="H194" i="8"/>
  <c r="N193" i="8"/>
  <c r="L193" i="8"/>
  <c r="I193" i="8"/>
  <c r="H193" i="8"/>
  <c r="N192" i="8"/>
  <c r="L192" i="8"/>
  <c r="I192" i="8"/>
  <c r="H192" i="8"/>
  <c r="N191" i="8"/>
  <c r="L191" i="8"/>
  <c r="I191" i="8"/>
  <c r="H191" i="8"/>
  <c r="N190" i="8"/>
  <c r="L190" i="8"/>
  <c r="I190" i="8"/>
  <c r="H190" i="8"/>
  <c r="N189" i="8"/>
  <c r="L189" i="8"/>
  <c r="I189" i="8"/>
  <c r="H189" i="8"/>
  <c r="N188" i="8"/>
  <c r="L188" i="8"/>
  <c r="I188" i="8"/>
  <c r="H188" i="8"/>
  <c r="N187" i="8"/>
  <c r="L187" i="8"/>
  <c r="I187" i="8"/>
  <c r="H187" i="8"/>
  <c r="N186" i="8"/>
  <c r="L186" i="8"/>
  <c r="I186" i="8"/>
  <c r="H186" i="8"/>
  <c r="N185" i="8"/>
  <c r="L185" i="8"/>
  <c r="I185" i="8"/>
  <c r="H185" i="8"/>
  <c r="N184" i="8"/>
  <c r="L184" i="8"/>
  <c r="I184" i="8"/>
  <c r="H184" i="8"/>
  <c r="N183" i="8"/>
  <c r="L183" i="8"/>
  <c r="I183" i="8"/>
  <c r="H183" i="8"/>
  <c r="N182" i="8"/>
  <c r="L182" i="8"/>
  <c r="I182" i="8"/>
  <c r="H182" i="8"/>
  <c r="N181" i="8"/>
  <c r="L181" i="8"/>
  <c r="I181" i="8"/>
  <c r="H181" i="8"/>
  <c r="N180" i="8"/>
  <c r="L180" i="8"/>
  <c r="I180" i="8"/>
  <c r="H180" i="8"/>
  <c r="N179" i="8"/>
  <c r="L179" i="8"/>
  <c r="I179" i="8"/>
  <c r="H179" i="8"/>
  <c r="N178" i="8"/>
  <c r="L178" i="8"/>
  <c r="I178" i="8"/>
  <c r="H178" i="8"/>
  <c r="N177" i="8"/>
  <c r="L177" i="8"/>
  <c r="I177" i="8"/>
  <c r="H177" i="8"/>
  <c r="H176" i="8"/>
  <c r="N176" i="8"/>
  <c r="N175" i="8"/>
  <c r="L175" i="8"/>
  <c r="I175" i="8"/>
  <c r="H175" i="8"/>
  <c r="N174" i="8"/>
  <c r="L174" i="8"/>
  <c r="I174" i="8"/>
  <c r="H174" i="8"/>
  <c r="N173" i="8"/>
  <c r="L173" i="8"/>
  <c r="I173" i="8"/>
  <c r="H173" i="8"/>
  <c r="N172" i="8"/>
  <c r="L172" i="8"/>
  <c r="I172" i="8"/>
  <c r="H172" i="8"/>
  <c r="N171" i="8"/>
  <c r="L171" i="8"/>
  <c r="I171" i="8"/>
  <c r="H171" i="8"/>
  <c r="N170" i="8"/>
  <c r="L170" i="8"/>
  <c r="I170" i="8"/>
  <c r="H170" i="8"/>
  <c r="N169" i="8"/>
  <c r="L169" i="8"/>
  <c r="I169" i="8"/>
  <c r="H169" i="8"/>
  <c r="N168" i="8"/>
  <c r="L168" i="8"/>
  <c r="I168" i="8"/>
  <c r="H168" i="8"/>
  <c r="N167" i="8"/>
  <c r="L167" i="8"/>
  <c r="I167" i="8"/>
  <c r="H167" i="8"/>
  <c r="N166" i="8"/>
  <c r="L166" i="8"/>
  <c r="I166" i="8"/>
  <c r="H166" i="8"/>
  <c r="N165" i="8"/>
  <c r="L165" i="8"/>
  <c r="I165" i="8"/>
  <c r="H165" i="8"/>
  <c r="N164" i="8"/>
  <c r="L164" i="8"/>
  <c r="I164" i="8"/>
  <c r="H164" i="8"/>
  <c r="N163" i="8"/>
  <c r="N162" i="8"/>
  <c r="L162" i="8"/>
  <c r="I162" i="8"/>
  <c r="H162" i="8"/>
  <c r="N161" i="8"/>
  <c r="L161" i="8"/>
  <c r="I161" i="8"/>
  <c r="H161" i="8"/>
  <c r="N160" i="8"/>
  <c r="L160" i="8"/>
  <c r="I160" i="8"/>
  <c r="H160" i="8"/>
  <c r="N159" i="8"/>
  <c r="L159" i="8"/>
  <c r="I159" i="8"/>
  <c r="H159" i="8"/>
  <c r="N158" i="8"/>
  <c r="L158" i="8"/>
  <c r="I158" i="8"/>
  <c r="H158" i="8"/>
  <c r="N157" i="8"/>
  <c r="L157" i="8"/>
  <c r="I157" i="8"/>
  <c r="H157" i="8"/>
  <c r="N156" i="8"/>
  <c r="L156" i="8"/>
  <c r="I156" i="8"/>
  <c r="H156" i="8"/>
  <c r="N155" i="8"/>
  <c r="L155" i="8"/>
  <c r="I155" i="8"/>
  <c r="H155" i="8"/>
  <c r="N154" i="8"/>
  <c r="L154" i="8"/>
  <c r="I154" i="8"/>
  <c r="H154" i="8"/>
  <c r="N153" i="8"/>
  <c r="L153" i="8"/>
  <c r="I153" i="8"/>
  <c r="H153" i="8"/>
  <c r="N152" i="8"/>
  <c r="L152" i="8"/>
  <c r="I152" i="8"/>
  <c r="H152" i="8"/>
  <c r="N151" i="8"/>
  <c r="L151" i="8"/>
  <c r="I151" i="8"/>
  <c r="H151" i="8"/>
  <c r="N150" i="8"/>
  <c r="L150" i="8"/>
  <c r="I150" i="8"/>
  <c r="H150" i="8"/>
  <c r="N149" i="8"/>
  <c r="L149" i="8"/>
  <c r="I149" i="8"/>
  <c r="H149" i="8"/>
  <c r="N148" i="8"/>
  <c r="L148" i="8"/>
  <c r="I148" i="8"/>
  <c r="H148" i="8"/>
  <c r="N147" i="8"/>
  <c r="L147" i="8"/>
  <c r="I147" i="8"/>
  <c r="H147" i="8"/>
  <c r="N146" i="8"/>
  <c r="L146" i="8"/>
  <c r="I146" i="8"/>
  <c r="H146" i="8"/>
  <c r="N145" i="8"/>
  <c r="L145" i="8"/>
  <c r="I145" i="8"/>
  <c r="H145" i="8"/>
  <c r="N144" i="8"/>
  <c r="L144" i="8"/>
  <c r="I144" i="8"/>
  <c r="H144" i="8"/>
  <c r="N143" i="8"/>
  <c r="L143" i="8"/>
  <c r="I143" i="8"/>
  <c r="H143" i="8"/>
  <c r="N142" i="8"/>
  <c r="L142" i="8"/>
  <c r="I142" i="8"/>
  <c r="H142" i="8"/>
  <c r="N141" i="8"/>
  <c r="L141" i="8"/>
  <c r="I141" i="8"/>
  <c r="H141" i="8"/>
  <c r="N140" i="8"/>
  <c r="L140" i="8"/>
  <c r="I140" i="8"/>
  <c r="H140" i="8"/>
  <c r="N139" i="8"/>
  <c r="L139" i="8"/>
  <c r="I139" i="8"/>
  <c r="H139" i="8"/>
  <c r="N138" i="8"/>
  <c r="L138" i="8"/>
  <c r="I138" i="8"/>
  <c r="H138" i="8"/>
  <c r="N137" i="8"/>
  <c r="L137" i="8"/>
  <c r="I137" i="8"/>
  <c r="H137" i="8"/>
  <c r="N136" i="8"/>
  <c r="L136" i="8"/>
  <c r="I136" i="8"/>
  <c r="H136" i="8"/>
  <c r="N135" i="8"/>
  <c r="L135" i="8"/>
  <c r="I135" i="8"/>
  <c r="H135" i="8"/>
  <c r="N134" i="8"/>
  <c r="L134" i="8"/>
  <c r="I134" i="8"/>
  <c r="H134" i="8"/>
  <c r="N133" i="8"/>
  <c r="L133" i="8"/>
  <c r="I133" i="8"/>
  <c r="H133" i="8"/>
  <c r="N132" i="8"/>
  <c r="L132" i="8"/>
  <c r="I132" i="8"/>
  <c r="H132" i="8"/>
  <c r="N131" i="8"/>
  <c r="L131" i="8"/>
  <c r="I131" i="8"/>
  <c r="H131" i="8"/>
  <c r="N130" i="8"/>
  <c r="L130" i="8"/>
  <c r="I130" i="8"/>
  <c r="H130" i="8"/>
  <c r="N129" i="8"/>
  <c r="L129" i="8"/>
  <c r="I129" i="8"/>
  <c r="H129" i="8"/>
  <c r="N128" i="8"/>
  <c r="L128" i="8"/>
  <c r="I128" i="8"/>
  <c r="H128" i="8"/>
  <c r="N127" i="8"/>
  <c r="L127" i="8"/>
  <c r="I127" i="8"/>
  <c r="H127" i="8"/>
  <c r="N126" i="8"/>
  <c r="L126" i="8"/>
  <c r="I126" i="8"/>
  <c r="H126" i="8"/>
  <c r="N125" i="8"/>
  <c r="L125" i="8"/>
  <c r="I125" i="8"/>
  <c r="H125" i="8"/>
  <c r="N124" i="8"/>
  <c r="L124" i="8"/>
  <c r="I124" i="8"/>
  <c r="H124" i="8"/>
  <c r="N123" i="8"/>
  <c r="L123" i="8"/>
  <c r="I123" i="8"/>
  <c r="H123" i="8"/>
  <c r="N122" i="8"/>
  <c r="L122" i="8"/>
  <c r="I122" i="8"/>
  <c r="H122" i="8"/>
  <c r="N121" i="8"/>
  <c r="L121" i="8"/>
  <c r="I121" i="8"/>
  <c r="H121" i="8"/>
  <c r="N120" i="8"/>
  <c r="L120" i="8"/>
  <c r="I120" i="8"/>
  <c r="H120" i="8"/>
  <c r="N119" i="8"/>
  <c r="L119" i="8"/>
  <c r="I119" i="8"/>
  <c r="H119" i="8"/>
  <c r="N118" i="8"/>
  <c r="L118" i="8"/>
  <c r="I118" i="8"/>
  <c r="H118" i="8"/>
  <c r="N117" i="8"/>
  <c r="L117" i="8"/>
  <c r="I117" i="8"/>
  <c r="H117" i="8"/>
  <c r="N116" i="8"/>
  <c r="L116" i="8"/>
  <c r="I116" i="8"/>
  <c r="H116" i="8"/>
  <c r="N115" i="8"/>
  <c r="L115" i="8"/>
  <c r="I115" i="8"/>
  <c r="H115" i="8"/>
  <c r="N114" i="8"/>
  <c r="L114" i="8"/>
  <c r="I114" i="8"/>
  <c r="H114" i="8"/>
  <c r="N113" i="8"/>
  <c r="L113" i="8"/>
  <c r="I113" i="8"/>
  <c r="H113" i="8"/>
  <c r="N112" i="8"/>
  <c r="L112" i="8"/>
  <c r="I112" i="8"/>
  <c r="H112" i="8"/>
  <c r="N111" i="8"/>
  <c r="L111" i="8"/>
  <c r="I111" i="8"/>
  <c r="H111" i="8"/>
  <c r="N110" i="8"/>
  <c r="L110" i="8"/>
  <c r="I110" i="8"/>
  <c r="H110" i="8"/>
  <c r="N109" i="8"/>
  <c r="L109" i="8"/>
  <c r="I109" i="8"/>
  <c r="H109" i="8"/>
  <c r="N108" i="8"/>
  <c r="L108" i="8"/>
  <c r="I108" i="8"/>
  <c r="H108" i="8"/>
  <c r="N107" i="8"/>
  <c r="L107" i="8"/>
  <c r="I107" i="8"/>
  <c r="H107" i="8"/>
  <c r="L106" i="8"/>
  <c r="N105" i="8"/>
  <c r="L105" i="8"/>
  <c r="I105" i="8"/>
  <c r="H105" i="8"/>
  <c r="N104" i="8"/>
  <c r="L104" i="8"/>
  <c r="I104" i="8"/>
  <c r="H104" i="8"/>
  <c r="N103" i="8"/>
  <c r="L103" i="8"/>
  <c r="I103" i="8"/>
  <c r="H103" i="8"/>
  <c r="N102" i="8"/>
  <c r="L102" i="8"/>
  <c r="I102" i="8"/>
  <c r="H102" i="8"/>
  <c r="N101" i="8"/>
  <c r="L101" i="8"/>
  <c r="I101" i="8"/>
  <c r="H101" i="8"/>
  <c r="N100" i="8"/>
  <c r="L100" i="8"/>
  <c r="I100" i="8"/>
  <c r="H100" i="8"/>
  <c r="N99" i="8"/>
  <c r="L99" i="8"/>
  <c r="I99" i="8"/>
  <c r="H99" i="8"/>
  <c r="N98" i="8"/>
  <c r="L98" i="8"/>
  <c r="I98" i="8"/>
  <c r="H98" i="8"/>
  <c r="N97" i="8"/>
  <c r="L97" i="8"/>
  <c r="I97" i="8"/>
  <c r="H97" i="8"/>
  <c r="N96" i="8"/>
  <c r="L96" i="8"/>
  <c r="I96" i="8"/>
  <c r="H96" i="8"/>
  <c r="N95" i="8"/>
  <c r="L95" i="8"/>
  <c r="I95" i="8"/>
  <c r="H95" i="8"/>
  <c r="N94" i="8"/>
  <c r="L94" i="8"/>
  <c r="I94" i="8"/>
  <c r="H94" i="8"/>
  <c r="N93" i="8"/>
  <c r="L93" i="8"/>
  <c r="I93" i="8"/>
  <c r="H93" i="8"/>
  <c r="N92" i="8"/>
  <c r="L92" i="8"/>
  <c r="I92" i="8"/>
  <c r="H92" i="8"/>
  <c r="N91" i="8"/>
  <c r="L91" i="8"/>
  <c r="I91" i="8"/>
  <c r="H91" i="8"/>
  <c r="N90" i="8"/>
  <c r="L90" i="8"/>
  <c r="I90" i="8"/>
  <c r="H90" i="8"/>
  <c r="N89" i="8"/>
  <c r="L89" i="8"/>
  <c r="I89" i="8"/>
  <c r="H89" i="8"/>
  <c r="N88" i="8"/>
  <c r="L88" i="8"/>
  <c r="I88" i="8"/>
  <c r="H88" i="8"/>
  <c r="N87" i="8"/>
  <c r="L87" i="8"/>
  <c r="I87" i="8"/>
  <c r="H87" i="8"/>
  <c r="N86" i="8"/>
  <c r="L86" i="8"/>
  <c r="I86" i="8"/>
  <c r="H86" i="8"/>
  <c r="N85" i="8"/>
  <c r="L85" i="8"/>
  <c r="I85" i="8"/>
  <c r="H85" i="8"/>
  <c r="N84" i="8"/>
  <c r="L84" i="8"/>
  <c r="I84" i="8"/>
  <c r="H84" i="8"/>
  <c r="N83" i="8"/>
  <c r="L83" i="8"/>
  <c r="I83" i="8"/>
  <c r="H83" i="8"/>
  <c r="N82" i="8"/>
  <c r="L82" i="8"/>
  <c r="I82" i="8"/>
  <c r="H82" i="8"/>
  <c r="N81" i="8"/>
  <c r="L81" i="8"/>
  <c r="I81" i="8"/>
  <c r="H81" i="8"/>
  <c r="N80" i="8"/>
  <c r="L80" i="8"/>
  <c r="I80" i="8"/>
  <c r="H80" i="8"/>
  <c r="N79" i="8"/>
  <c r="L79" i="8"/>
  <c r="I79" i="8"/>
  <c r="H79" i="8"/>
  <c r="N78" i="8"/>
  <c r="L78" i="8"/>
  <c r="I78" i="8"/>
  <c r="H78" i="8"/>
  <c r="N77" i="8"/>
  <c r="L77" i="8"/>
  <c r="I77" i="8"/>
  <c r="H77" i="8"/>
  <c r="N76" i="8"/>
  <c r="L76" i="8"/>
  <c r="I76" i="8"/>
  <c r="H76" i="8"/>
  <c r="N75" i="8"/>
  <c r="L75" i="8"/>
  <c r="I75" i="8"/>
  <c r="H75" i="8"/>
  <c r="N74" i="8"/>
  <c r="L74" i="8"/>
  <c r="I74" i="8"/>
  <c r="H74" i="8"/>
  <c r="N73" i="8"/>
  <c r="L73" i="8"/>
  <c r="I73" i="8"/>
  <c r="H73" i="8"/>
  <c r="N72" i="8"/>
  <c r="L72" i="8"/>
  <c r="I72" i="8"/>
  <c r="H72" i="8"/>
  <c r="N71" i="8"/>
  <c r="L71" i="8"/>
  <c r="I71" i="8"/>
  <c r="H71" i="8"/>
  <c r="N70" i="8"/>
  <c r="L70" i="8"/>
  <c r="I70" i="8"/>
  <c r="H70" i="8"/>
  <c r="N69" i="8"/>
  <c r="L69" i="8"/>
  <c r="I69" i="8"/>
  <c r="H69" i="8"/>
  <c r="N68" i="8"/>
  <c r="L68" i="8"/>
  <c r="I68" i="8"/>
  <c r="H68" i="8"/>
  <c r="N67" i="8"/>
  <c r="L67" i="8"/>
  <c r="I67" i="8"/>
  <c r="H67" i="8"/>
  <c r="N66" i="8"/>
  <c r="L66" i="8"/>
  <c r="I66" i="8"/>
  <c r="H66" i="8"/>
  <c r="N65" i="8"/>
  <c r="L65" i="8"/>
  <c r="I65" i="8"/>
  <c r="H65" i="8"/>
  <c r="N64" i="8"/>
  <c r="L64" i="8"/>
  <c r="I64" i="8"/>
  <c r="H64" i="8"/>
  <c r="N63" i="8"/>
  <c r="L63" i="8"/>
  <c r="I63" i="8"/>
  <c r="H63" i="8"/>
  <c r="N62" i="8"/>
  <c r="L62" i="8"/>
  <c r="I62" i="8"/>
  <c r="H62" i="8"/>
  <c r="N61" i="8"/>
  <c r="L61" i="8"/>
  <c r="I61" i="8"/>
  <c r="H61" i="8"/>
  <c r="N60" i="8"/>
  <c r="L60" i="8"/>
  <c r="I60" i="8"/>
  <c r="H60" i="8"/>
  <c r="N59" i="8"/>
  <c r="L59" i="8"/>
  <c r="I59" i="8"/>
  <c r="H59" i="8"/>
  <c r="N58" i="8"/>
  <c r="L58" i="8"/>
  <c r="I58" i="8"/>
  <c r="H58" i="8"/>
  <c r="N57" i="8"/>
  <c r="L57" i="8"/>
  <c r="I57" i="8"/>
  <c r="H57" i="8"/>
  <c r="N55" i="8"/>
  <c r="L55" i="8"/>
  <c r="I55" i="8"/>
  <c r="H55" i="8"/>
  <c r="N54" i="8"/>
  <c r="L54" i="8"/>
  <c r="I54" i="8"/>
  <c r="H54" i="8"/>
  <c r="N53" i="8"/>
  <c r="L53" i="8"/>
  <c r="I53" i="8"/>
  <c r="H53" i="8"/>
  <c r="N52" i="8"/>
  <c r="L52" i="8"/>
  <c r="I52" i="8"/>
  <c r="H52" i="8"/>
  <c r="N51" i="8"/>
  <c r="L51" i="8"/>
  <c r="I51" i="8"/>
  <c r="H51" i="8"/>
  <c r="N50" i="8"/>
  <c r="L50" i="8"/>
  <c r="I50" i="8"/>
  <c r="H50" i="8"/>
  <c r="N49" i="8"/>
  <c r="L49" i="8"/>
  <c r="I49" i="8"/>
  <c r="H49" i="8"/>
  <c r="N48" i="8"/>
  <c r="L48" i="8"/>
  <c r="I48" i="8"/>
  <c r="H48" i="8"/>
  <c r="N47" i="8"/>
  <c r="L47" i="8"/>
  <c r="I47" i="8"/>
  <c r="H47" i="8"/>
  <c r="N46" i="8"/>
  <c r="L46" i="8"/>
  <c r="I46" i="8"/>
  <c r="H46" i="8"/>
  <c r="N45" i="8"/>
  <c r="L45" i="8"/>
  <c r="I45" i="8"/>
  <c r="H45" i="8"/>
  <c r="N44" i="8"/>
  <c r="L44" i="8"/>
  <c r="I44" i="8"/>
  <c r="H44" i="8"/>
  <c r="N43" i="8"/>
  <c r="L43" i="8"/>
  <c r="I43" i="8"/>
  <c r="H43" i="8"/>
  <c r="N42" i="8"/>
  <c r="L42" i="8"/>
  <c r="I42" i="8"/>
  <c r="H42" i="8"/>
  <c r="N41" i="8"/>
  <c r="L41" i="8"/>
  <c r="I41" i="8"/>
  <c r="H41" i="8"/>
  <c r="N40" i="8"/>
  <c r="L40" i="8"/>
  <c r="I40" i="8"/>
  <c r="H40" i="8"/>
  <c r="N39" i="8"/>
  <c r="L39" i="8"/>
  <c r="I39" i="8"/>
  <c r="H39" i="8"/>
  <c r="N38" i="8"/>
  <c r="L38" i="8"/>
  <c r="I38" i="8"/>
  <c r="H38" i="8"/>
  <c r="N37" i="8"/>
  <c r="L37" i="8"/>
  <c r="I37" i="8"/>
  <c r="H37" i="8"/>
  <c r="N36" i="8"/>
  <c r="L36" i="8"/>
  <c r="I36" i="8"/>
  <c r="H36" i="8"/>
  <c r="N35" i="8"/>
  <c r="L35" i="8"/>
  <c r="I35" i="8"/>
  <c r="H35" i="8"/>
  <c r="N34" i="8"/>
  <c r="L34" i="8"/>
  <c r="I34" i="8"/>
  <c r="H34" i="8"/>
  <c r="N33" i="8"/>
  <c r="L33" i="8"/>
  <c r="I33" i="8"/>
  <c r="H33" i="8"/>
  <c r="N32" i="8"/>
  <c r="L32" i="8"/>
  <c r="I32" i="8"/>
  <c r="H32" i="8"/>
  <c r="N31" i="8"/>
  <c r="L31" i="8"/>
  <c r="I31" i="8"/>
  <c r="H31" i="8"/>
  <c r="L30" i="8"/>
  <c r="I30" i="8"/>
  <c r="H30" i="8"/>
  <c r="N29" i="8"/>
  <c r="L29" i="8"/>
  <c r="I29" i="8"/>
  <c r="H29" i="8"/>
  <c r="N28" i="8"/>
  <c r="L28" i="8"/>
  <c r="I28" i="8"/>
  <c r="H28" i="8"/>
  <c r="N27" i="8"/>
  <c r="L27" i="8"/>
  <c r="I27" i="8"/>
  <c r="H27" i="8"/>
  <c r="N26" i="8"/>
  <c r="L26" i="8"/>
  <c r="I26" i="8"/>
  <c r="H26" i="8"/>
  <c r="B26" i="8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N25" i="8"/>
  <c r="L25" i="8"/>
  <c r="I25" i="8"/>
  <c r="H25" i="8"/>
  <c r="N24" i="8"/>
  <c r="L24" i="8"/>
  <c r="I24" i="8"/>
  <c r="H24" i="8"/>
  <c r="N23" i="8"/>
  <c r="L23" i="8"/>
  <c r="I23" i="8"/>
  <c r="H23" i="8"/>
  <c r="N22" i="8"/>
  <c r="L22" i="8"/>
  <c r="I22" i="8"/>
  <c r="H22" i="8"/>
  <c r="N21" i="8"/>
  <c r="L21" i="8"/>
  <c r="I21" i="8"/>
  <c r="H21" i="8"/>
  <c r="N20" i="8"/>
  <c r="L20" i="8"/>
  <c r="I20" i="8"/>
  <c r="H20" i="8"/>
  <c r="N19" i="8"/>
  <c r="L19" i="8"/>
  <c r="I19" i="8"/>
  <c r="H19" i="8"/>
  <c r="N18" i="8"/>
  <c r="L18" i="8"/>
  <c r="I18" i="8"/>
  <c r="H18" i="8"/>
  <c r="N17" i="8"/>
  <c r="L17" i="8"/>
  <c r="I17" i="8"/>
  <c r="H17" i="8"/>
  <c r="N16" i="8"/>
  <c r="L16" i="8"/>
  <c r="I16" i="8"/>
  <c r="H16" i="8"/>
  <c r="N15" i="8"/>
  <c r="L15" i="8"/>
  <c r="I15" i="8"/>
  <c r="H15" i="8"/>
  <c r="N14" i="8"/>
  <c r="L14" i="8"/>
  <c r="I14" i="8"/>
  <c r="H14" i="8"/>
  <c r="N13" i="8"/>
  <c r="L13" i="8"/>
  <c r="I13" i="8"/>
  <c r="H13" i="8"/>
  <c r="N12" i="8"/>
  <c r="L12" i="8"/>
  <c r="I12" i="8"/>
  <c r="H12" i="8"/>
  <c r="N11" i="8"/>
  <c r="L11" i="8"/>
  <c r="I11" i="8"/>
  <c r="H11" i="8"/>
  <c r="N10" i="8"/>
  <c r="L10" i="8"/>
  <c r="I10" i="8"/>
  <c r="H10" i="8"/>
  <c r="N9" i="8"/>
  <c r="L9" i="8"/>
  <c r="I9" i="8"/>
  <c r="H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N8" i="8"/>
  <c r="L8" i="8"/>
  <c r="I8" i="8"/>
  <c r="H8" i="8"/>
  <c r="N7" i="8"/>
  <c r="L7" i="8"/>
  <c r="I7" i="8"/>
  <c r="H7" i="8"/>
  <c r="N6" i="8"/>
  <c r="L6" i="8"/>
  <c r="I6" i="8"/>
  <c r="H6" i="8"/>
  <c r="Q10" i="8" l="1"/>
  <c r="Q12" i="8"/>
  <c r="Q14" i="8"/>
  <c r="Q16" i="8"/>
  <c r="Q18" i="8"/>
  <c r="Q20" i="8"/>
  <c r="Q22" i="8"/>
  <c r="Q24" i="8"/>
  <c r="Q185" i="8"/>
  <c r="Q187" i="8"/>
  <c r="Q189" i="8"/>
  <c r="Q191" i="8"/>
  <c r="Q193" i="8"/>
  <c r="Q195" i="8"/>
  <c r="Q197" i="8"/>
  <c r="Q199" i="8"/>
  <c r="Q201" i="8"/>
  <c r="Q203" i="8"/>
  <c r="Q167" i="8"/>
  <c r="Q171" i="8"/>
  <c r="Q253" i="8"/>
  <c r="Q255" i="8"/>
  <c r="Q169" i="8"/>
  <c r="Q126" i="8"/>
  <c r="Q128" i="8"/>
  <c r="Q146" i="8"/>
  <c r="Q150" i="8"/>
  <c r="Q154" i="8"/>
  <c r="Q158" i="8"/>
  <c r="Q160" i="8"/>
  <c r="Q162" i="8"/>
  <c r="Q108" i="8"/>
  <c r="Q110" i="8"/>
  <c r="Q112" i="8"/>
  <c r="Q114" i="8"/>
  <c r="Q116" i="8"/>
  <c r="Q118" i="8"/>
  <c r="Q120" i="8"/>
  <c r="Q122" i="8"/>
  <c r="Q124" i="8"/>
  <c r="Q130" i="8"/>
  <c r="Q132" i="8"/>
  <c r="Q134" i="8"/>
  <c r="Q136" i="8"/>
  <c r="Q138" i="8"/>
  <c r="Q140" i="8"/>
  <c r="Q142" i="8"/>
  <c r="Q144" i="8"/>
  <c r="Q148" i="8"/>
  <c r="Q152" i="8"/>
  <c r="Q156" i="8"/>
  <c r="Q7" i="8"/>
  <c r="Q29" i="8"/>
  <c r="Q31" i="8"/>
  <c r="Q33" i="8"/>
  <c r="Q165" i="8"/>
  <c r="Q173" i="8"/>
  <c r="Q175" i="8"/>
  <c r="Q259" i="8"/>
  <c r="Q58" i="8"/>
  <c r="Q60" i="8"/>
  <c r="Q62" i="8"/>
  <c r="Q64" i="8"/>
  <c r="Q66" i="8"/>
  <c r="Q68" i="8"/>
  <c r="Q70" i="8"/>
  <c r="Q72" i="8"/>
  <c r="Q74" i="8"/>
  <c r="Q76" i="8"/>
  <c r="Q78" i="8"/>
  <c r="Q80" i="8"/>
  <c r="Q82" i="8"/>
  <c r="Q84" i="8"/>
  <c r="Q88" i="8"/>
  <c r="Q90" i="8"/>
  <c r="Q92" i="8"/>
  <c r="Q96" i="8"/>
  <c r="Q98" i="8"/>
  <c r="Q100" i="8"/>
  <c r="Q102" i="8"/>
  <c r="G263" i="8"/>
  <c r="Q105" i="8"/>
  <c r="H106" i="8"/>
  <c r="Q208" i="8"/>
  <c r="Q210" i="8"/>
  <c r="Q214" i="8"/>
  <c r="Q218" i="8"/>
  <c r="Q220" i="8"/>
  <c r="Q222" i="8"/>
  <c r="Q224" i="8"/>
  <c r="Q226" i="8"/>
  <c r="Q230" i="8"/>
  <c r="Q232" i="8"/>
  <c r="Q234" i="8"/>
  <c r="Q236" i="8"/>
  <c r="Q238" i="8"/>
  <c r="Q240" i="8"/>
  <c r="Q244" i="8"/>
  <c r="Q246" i="8"/>
  <c r="Q248" i="8"/>
  <c r="Q250" i="8"/>
  <c r="Q252" i="8"/>
  <c r="Q254" i="8"/>
  <c r="Q256" i="8"/>
  <c r="Q6" i="8"/>
  <c r="Q8" i="8"/>
  <c r="Q23" i="8"/>
  <c r="Q25" i="8"/>
  <c r="Q27" i="8"/>
  <c r="Q35" i="8"/>
  <c r="Q37" i="8"/>
  <c r="Q39" i="8"/>
  <c r="Q41" i="8"/>
  <c r="Q43" i="8"/>
  <c r="Q45" i="8"/>
  <c r="Q47" i="8"/>
  <c r="Q49" i="8"/>
  <c r="Q51" i="8"/>
  <c r="Q53" i="8"/>
  <c r="Q55" i="8"/>
  <c r="N106" i="8"/>
  <c r="Q107" i="8"/>
  <c r="Q109" i="8"/>
  <c r="Q111" i="8"/>
  <c r="Q113" i="8"/>
  <c r="Q115" i="8"/>
  <c r="Q117" i="8"/>
  <c r="Q119" i="8"/>
  <c r="Q121" i="8"/>
  <c r="Q123" i="8"/>
  <c r="Q125" i="8"/>
  <c r="Q127" i="8"/>
  <c r="Q129" i="8"/>
  <c r="Q131" i="8"/>
  <c r="Q133" i="8"/>
  <c r="Q178" i="8"/>
  <c r="Q180" i="8"/>
  <c r="Q182" i="8"/>
  <c r="Q184" i="8"/>
  <c r="Q186" i="8"/>
  <c r="Q188" i="8"/>
  <c r="Q190" i="8"/>
  <c r="Q192" i="8"/>
  <c r="Q194" i="8"/>
  <c r="Q196" i="8"/>
  <c r="Q198" i="8"/>
  <c r="Q200" i="8"/>
  <c r="Q202" i="8"/>
  <c r="Q212" i="8"/>
  <c r="Q216" i="8"/>
  <c r="Q228" i="8"/>
  <c r="Q242" i="8"/>
  <c r="Q86" i="8"/>
  <c r="Q94" i="8"/>
  <c r="Q257" i="8"/>
  <c r="Q261" i="8"/>
  <c r="J9" i="8"/>
  <c r="P9" i="8" s="1"/>
  <c r="Q9" i="8"/>
  <c r="J11" i="8"/>
  <c r="P11" i="8" s="1"/>
  <c r="Q11" i="8"/>
  <c r="J13" i="8"/>
  <c r="P13" i="8" s="1"/>
  <c r="Q13" i="8"/>
  <c r="J15" i="8"/>
  <c r="P15" i="8" s="1"/>
  <c r="Q15" i="8"/>
  <c r="J17" i="8"/>
  <c r="P17" i="8" s="1"/>
  <c r="Q17" i="8"/>
  <c r="J19" i="8"/>
  <c r="P19" i="8" s="1"/>
  <c r="Q19" i="8"/>
  <c r="J21" i="8"/>
  <c r="P21" i="8" s="1"/>
  <c r="Q21" i="8"/>
  <c r="J26" i="8"/>
  <c r="P26" i="8" s="1"/>
  <c r="Q26" i="8"/>
  <c r="J28" i="8"/>
  <c r="P28" i="8" s="1"/>
  <c r="Q28" i="8"/>
  <c r="J30" i="8"/>
  <c r="P30" i="8" s="1"/>
  <c r="Q30" i="8"/>
  <c r="J32" i="8"/>
  <c r="P32" i="8" s="1"/>
  <c r="Q32" i="8"/>
  <c r="J34" i="8"/>
  <c r="P34" i="8" s="1"/>
  <c r="Q34" i="8"/>
  <c r="J36" i="8"/>
  <c r="P36" i="8" s="1"/>
  <c r="Q36" i="8"/>
  <c r="J38" i="8"/>
  <c r="P38" i="8" s="1"/>
  <c r="Q38" i="8"/>
  <c r="J40" i="8"/>
  <c r="P40" i="8" s="1"/>
  <c r="Q40" i="8"/>
  <c r="J42" i="8"/>
  <c r="P42" i="8" s="1"/>
  <c r="Q42" i="8"/>
  <c r="J44" i="8"/>
  <c r="P44" i="8" s="1"/>
  <c r="Q44" i="8"/>
  <c r="J46" i="8"/>
  <c r="P46" i="8" s="1"/>
  <c r="Q46" i="8"/>
  <c r="J48" i="8"/>
  <c r="P48" i="8" s="1"/>
  <c r="Q48" i="8"/>
  <c r="J50" i="8"/>
  <c r="P50" i="8" s="1"/>
  <c r="Q50" i="8"/>
  <c r="J52" i="8"/>
  <c r="P52" i="8" s="1"/>
  <c r="Q52" i="8"/>
  <c r="J54" i="8"/>
  <c r="P54" i="8" s="1"/>
  <c r="Q54" i="8"/>
  <c r="I56" i="8"/>
  <c r="L56" i="8"/>
  <c r="J57" i="8"/>
  <c r="P57" i="8" s="1"/>
  <c r="Q57" i="8"/>
  <c r="J59" i="8"/>
  <c r="P59" i="8" s="1"/>
  <c r="Q59" i="8"/>
  <c r="J61" i="8"/>
  <c r="P61" i="8" s="1"/>
  <c r="Q61" i="8"/>
  <c r="J63" i="8"/>
  <c r="P63" i="8" s="1"/>
  <c r="Q63" i="8"/>
  <c r="J65" i="8"/>
  <c r="P65" i="8" s="1"/>
  <c r="Q65" i="8"/>
  <c r="J67" i="8"/>
  <c r="P67" i="8" s="1"/>
  <c r="Q67" i="8"/>
  <c r="J69" i="8"/>
  <c r="P69" i="8" s="1"/>
  <c r="Q69" i="8"/>
  <c r="J71" i="8"/>
  <c r="P71" i="8" s="1"/>
  <c r="Q71" i="8"/>
  <c r="J73" i="8"/>
  <c r="P73" i="8" s="1"/>
  <c r="Q73" i="8"/>
  <c r="J75" i="8"/>
  <c r="P75" i="8" s="1"/>
  <c r="Q75" i="8"/>
  <c r="J77" i="8"/>
  <c r="P77" i="8" s="1"/>
  <c r="Q77" i="8"/>
  <c r="J79" i="8"/>
  <c r="P79" i="8" s="1"/>
  <c r="Q79" i="8"/>
  <c r="J81" i="8"/>
  <c r="P81" i="8" s="1"/>
  <c r="Q81" i="8"/>
  <c r="J83" i="8"/>
  <c r="P83" i="8" s="1"/>
  <c r="Q83" i="8"/>
  <c r="J85" i="8"/>
  <c r="P85" i="8" s="1"/>
  <c r="Q85" i="8"/>
  <c r="J87" i="8"/>
  <c r="P87" i="8" s="1"/>
  <c r="Q87" i="8"/>
  <c r="J89" i="8"/>
  <c r="P89" i="8" s="1"/>
  <c r="Q89" i="8"/>
  <c r="J91" i="8"/>
  <c r="P91" i="8" s="1"/>
  <c r="Q91" i="8"/>
  <c r="J93" i="8"/>
  <c r="P93" i="8" s="1"/>
  <c r="Q93" i="8"/>
  <c r="J95" i="8"/>
  <c r="P95" i="8" s="1"/>
  <c r="Q95" i="8"/>
  <c r="J97" i="8"/>
  <c r="P97" i="8" s="1"/>
  <c r="J99" i="8"/>
  <c r="P99" i="8" s="1"/>
  <c r="J101" i="8"/>
  <c r="P101" i="8" s="1"/>
  <c r="J103" i="8"/>
  <c r="P103" i="8" s="1"/>
  <c r="Q104" i="8"/>
  <c r="J105" i="8"/>
  <c r="P105" i="8" s="1"/>
  <c r="J6" i="8"/>
  <c r="P6" i="8" s="1"/>
  <c r="J7" i="8"/>
  <c r="P7" i="8" s="1"/>
  <c r="J8" i="8"/>
  <c r="P8" i="8" s="1"/>
  <c r="J10" i="8"/>
  <c r="P10" i="8" s="1"/>
  <c r="J12" i="8"/>
  <c r="P12" i="8" s="1"/>
  <c r="J14" i="8"/>
  <c r="P14" i="8" s="1"/>
  <c r="J16" i="8"/>
  <c r="P16" i="8" s="1"/>
  <c r="J18" i="8"/>
  <c r="P18" i="8" s="1"/>
  <c r="J20" i="8"/>
  <c r="P20" i="8" s="1"/>
  <c r="J22" i="8"/>
  <c r="P22" i="8" s="1"/>
  <c r="J23" i="8"/>
  <c r="P23" i="8" s="1"/>
  <c r="J24" i="8"/>
  <c r="P24" i="8" s="1"/>
  <c r="J25" i="8"/>
  <c r="P25" i="8" s="1"/>
  <c r="J27" i="8"/>
  <c r="P27" i="8" s="1"/>
  <c r="J29" i="8"/>
  <c r="P29" i="8" s="1"/>
  <c r="J31" i="8"/>
  <c r="P31" i="8" s="1"/>
  <c r="J33" i="8"/>
  <c r="P33" i="8" s="1"/>
  <c r="J35" i="8"/>
  <c r="P35" i="8" s="1"/>
  <c r="J37" i="8"/>
  <c r="P37" i="8" s="1"/>
  <c r="J39" i="8"/>
  <c r="P39" i="8" s="1"/>
  <c r="J41" i="8"/>
  <c r="P41" i="8" s="1"/>
  <c r="J43" i="8"/>
  <c r="P43" i="8" s="1"/>
  <c r="J45" i="8"/>
  <c r="P45" i="8" s="1"/>
  <c r="J47" i="8"/>
  <c r="P47" i="8" s="1"/>
  <c r="J49" i="8"/>
  <c r="P49" i="8" s="1"/>
  <c r="J51" i="8"/>
  <c r="P51" i="8" s="1"/>
  <c r="J53" i="8"/>
  <c r="P53" i="8" s="1"/>
  <c r="J55" i="8"/>
  <c r="P55" i="8" s="1"/>
  <c r="H56" i="8"/>
  <c r="N56" i="8"/>
  <c r="J58" i="8"/>
  <c r="P58" i="8" s="1"/>
  <c r="J60" i="8"/>
  <c r="P60" i="8" s="1"/>
  <c r="J62" i="8"/>
  <c r="P62" i="8" s="1"/>
  <c r="J64" i="8"/>
  <c r="P64" i="8" s="1"/>
  <c r="J66" i="8"/>
  <c r="P66" i="8" s="1"/>
  <c r="J68" i="8"/>
  <c r="P68" i="8" s="1"/>
  <c r="J70" i="8"/>
  <c r="P70" i="8" s="1"/>
  <c r="J72" i="8"/>
  <c r="P72" i="8" s="1"/>
  <c r="J74" i="8"/>
  <c r="P74" i="8" s="1"/>
  <c r="J76" i="8"/>
  <c r="P76" i="8" s="1"/>
  <c r="J78" i="8"/>
  <c r="P78" i="8" s="1"/>
  <c r="J80" i="8"/>
  <c r="P80" i="8" s="1"/>
  <c r="J82" i="8"/>
  <c r="P82" i="8" s="1"/>
  <c r="J84" i="8"/>
  <c r="P84" i="8" s="1"/>
  <c r="J86" i="8"/>
  <c r="P86" i="8" s="1"/>
  <c r="J88" i="8"/>
  <c r="P88" i="8" s="1"/>
  <c r="J90" i="8"/>
  <c r="P90" i="8" s="1"/>
  <c r="J92" i="8"/>
  <c r="P92" i="8" s="1"/>
  <c r="J94" i="8"/>
  <c r="P94" i="8" s="1"/>
  <c r="Q97" i="8"/>
  <c r="Q99" i="8"/>
  <c r="Q101" i="8"/>
  <c r="Q103" i="8"/>
  <c r="J96" i="8"/>
  <c r="P96" i="8" s="1"/>
  <c r="J98" i="8"/>
  <c r="P98" i="8" s="1"/>
  <c r="J100" i="8"/>
  <c r="P100" i="8" s="1"/>
  <c r="J102" i="8"/>
  <c r="P102" i="8" s="1"/>
  <c r="J104" i="8"/>
  <c r="P104" i="8" s="1"/>
  <c r="I106" i="8"/>
  <c r="J107" i="8"/>
  <c r="J109" i="8"/>
  <c r="P109" i="8" s="1"/>
  <c r="J111" i="8"/>
  <c r="P111" i="8" s="1"/>
  <c r="J113" i="8"/>
  <c r="P113" i="8" s="1"/>
  <c r="J115" i="8"/>
  <c r="P115" i="8" s="1"/>
  <c r="J117" i="8"/>
  <c r="P117" i="8" s="1"/>
  <c r="J119" i="8"/>
  <c r="P119" i="8" s="1"/>
  <c r="J121" i="8"/>
  <c r="P121" i="8" s="1"/>
  <c r="J123" i="8"/>
  <c r="P123" i="8" s="1"/>
  <c r="J125" i="8"/>
  <c r="P125" i="8" s="1"/>
  <c r="J127" i="8"/>
  <c r="P127" i="8" s="1"/>
  <c r="J129" i="8"/>
  <c r="P129" i="8" s="1"/>
  <c r="J131" i="8"/>
  <c r="P131" i="8" s="1"/>
  <c r="J133" i="8"/>
  <c r="P133" i="8" s="1"/>
  <c r="J135" i="8"/>
  <c r="P135" i="8" s="1"/>
  <c r="Q135" i="8"/>
  <c r="J137" i="8"/>
  <c r="P137" i="8" s="1"/>
  <c r="Q137" i="8"/>
  <c r="J139" i="8"/>
  <c r="P139" i="8" s="1"/>
  <c r="Q139" i="8"/>
  <c r="J141" i="8"/>
  <c r="P141" i="8" s="1"/>
  <c r="Q141" i="8"/>
  <c r="J143" i="8"/>
  <c r="P143" i="8" s="1"/>
  <c r="Q143" i="8"/>
  <c r="J145" i="8"/>
  <c r="P145" i="8" s="1"/>
  <c r="Q145" i="8"/>
  <c r="J147" i="8"/>
  <c r="P147" i="8" s="1"/>
  <c r="Q147" i="8"/>
  <c r="J149" i="8"/>
  <c r="P149" i="8" s="1"/>
  <c r="Q149" i="8"/>
  <c r="J151" i="8"/>
  <c r="P151" i="8" s="1"/>
  <c r="Q151" i="8"/>
  <c r="J153" i="8"/>
  <c r="P153" i="8" s="1"/>
  <c r="Q153" i="8"/>
  <c r="J155" i="8"/>
  <c r="Q155" i="8"/>
  <c r="J157" i="8"/>
  <c r="P157" i="8" s="1"/>
  <c r="Q157" i="8"/>
  <c r="J159" i="8"/>
  <c r="P159" i="8" s="1"/>
  <c r="Q159" i="8"/>
  <c r="J161" i="8"/>
  <c r="P161" i="8" s="1"/>
  <c r="Q161" i="8"/>
  <c r="I163" i="8"/>
  <c r="L163" i="8"/>
  <c r="J164" i="8"/>
  <c r="P164" i="8" s="1"/>
  <c r="Q164" i="8"/>
  <c r="J166" i="8"/>
  <c r="P166" i="8" s="1"/>
  <c r="Q166" i="8"/>
  <c r="J168" i="8"/>
  <c r="P168" i="8" s="1"/>
  <c r="Q168" i="8"/>
  <c r="J170" i="8"/>
  <c r="P170" i="8" s="1"/>
  <c r="Q170" i="8"/>
  <c r="J172" i="8"/>
  <c r="P172" i="8" s="1"/>
  <c r="Q172" i="8"/>
  <c r="J174" i="8"/>
  <c r="P174" i="8" s="1"/>
  <c r="Q174" i="8"/>
  <c r="I176" i="8"/>
  <c r="Q176" i="8" s="1"/>
  <c r="L176" i="8"/>
  <c r="J177" i="8"/>
  <c r="P177" i="8" s="1"/>
  <c r="Q177" i="8"/>
  <c r="J179" i="8"/>
  <c r="P179" i="8" s="1"/>
  <c r="Q179" i="8"/>
  <c r="J181" i="8"/>
  <c r="P181" i="8" s="1"/>
  <c r="Q181" i="8"/>
  <c r="J183" i="8"/>
  <c r="P183" i="8" s="1"/>
  <c r="Q183" i="8"/>
  <c r="J185" i="8"/>
  <c r="P185" i="8" s="1"/>
  <c r="J187" i="8"/>
  <c r="P187" i="8" s="1"/>
  <c r="J189" i="8"/>
  <c r="P189" i="8" s="1"/>
  <c r="J191" i="8"/>
  <c r="P191" i="8" s="1"/>
  <c r="J193" i="8"/>
  <c r="P193" i="8" s="1"/>
  <c r="J195" i="8"/>
  <c r="P195" i="8" s="1"/>
  <c r="J197" i="8"/>
  <c r="P197" i="8" s="1"/>
  <c r="J199" i="8"/>
  <c r="P199" i="8" s="1"/>
  <c r="J201" i="8"/>
  <c r="P201" i="8" s="1"/>
  <c r="J203" i="8"/>
  <c r="P203" i="8" s="1"/>
  <c r="P107" i="8"/>
  <c r="J108" i="8"/>
  <c r="P108" i="8" s="1"/>
  <c r="J110" i="8"/>
  <c r="P110" i="8" s="1"/>
  <c r="J112" i="8"/>
  <c r="P112" i="8" s="1"/>
  <c r="J114" i="8"/>
  <c r="P114" i="8" s="1"/>
  <c r="J116" i="8"/>
  <c r="P116" i="8" s="1"/>
  <c r="J118" i="8"/>
  <c r="P118" i="8" s="1"/>
  <c r="J120" i="8"/>
  <c r="P120" i="8" s="1"/>
  <c r="J122" i="8"/>
  <c r="P122" i="8" s="1"/>
  <c r="J124" i="8"/>
  <c r="P124" i="8" s="1"/>
  <c r="J126" i="8"/>
  <c r="P126" i="8" s="1"/>
  <c r="J128" i="8"/>
  <c r="P128" i="8" s="1"/>
  <c r="J130" i="8"/>
  <c r="P130" i="8" s="1"/>
  <c r="J132" i="8"/>
  <c r="P132" i="8" s="1"/>
  <c r="J134" i="8"/>
  <c r="P134" i="8" s="1"/>
  <c r="J136" i="8"/>
  <c r="P136" i="8" s="1"/>
  <c r="J138" i="8"/>
  <c r="P138" i="8" s="1"/>
  <c r="J140" i="8"/>
  <c r="P140" i="8" s="1"/>
  <c r="J142" i="8"/>
  <c r="P142" i="8" s="1"/>
  <c r="J144" i="8"/>
  <c r="P144" i="8" s="1"/>
  <c r="J146" i="8"/>
  <c r="P146" i="8" s="1"/>
  <c r="J148" i="8"/>
  <c r="P148" i="8" s="1"/>
  <c r="J150" i="8"/>
  <c r="P150" i="8" s="1"/>
  <c r="J152" i="8"/>
  <c r="P152" i="8" s="1"/>
  <c r="J154" i="8"/>
  <c r="P154" i="8" s="1"/>
  <c r="P155" i="8"/>
  <c r="J156" i="8"/>
  <c r="P156" i="8" s="1"/>
  <c r="J158" i="8"/>
  <c r="P158" i="8" s="1"/>
  <c r="J160" i="8"/>
  <c r="P160" i="8" s="1"/>
  <c r="J162" i="8"/>
  <c r="P162" i="8" s="1"/>
  <c r="H163" i="8"/>
  <c r="J165" i="8"/>
  <c r="P165" i="8" s="1"/>
  <c r="J167" i="8"/>
  <c r="P167" i="8" s="1"/>
  <c r="J169" i="8"/>
  <c r="P169" i="8" s="1"/>
  <c r="J171" i="8"/>
  <c r="P171" i="8" s="1"/>
  <c r="J173" i="8"/>
  <c r="P173" i="8" s="1"/>
  <c r="J175" i="8"/>
  <c r="P175" i="8" s="1"/>
  <c r="J178" i="8"/>
  <c r="P178" i="8" s="1"/>
  <c r="J180" i="8"/>
  <c r="P180" i="8" s="1"/>
  <c r="J182" i="8"/>
  <c r="P182" i="8" s="1"/>
  <c r="J184" i="8"/>
  <c r="P184" i="8" s="1"/>
  <c r="J186" i="8"/>
  <c r="P186" i="8" s="1"/>
  <c r="J188" i="8"/>
  <c r="P188" i="8" s="1"/>
  <c r="J190" i="8"/>
  <c r="P190" i="8" s="1"/>
  <c r="J192" i="8"/>
  <c r="P192" i="8" s="1"/>
  <c r="J194" i="8"/>
  <c r="P194" i="8" s="1"/>
  <c r="J196" i="8"/>
  <c r="P196" i="8" s="1"/>
  <c r="J198" i="8"/>
  <c r="P198" i="8" s="1"/>
  <c r="J200" i="8"/>
  <c r="P200" i="8" s="1"/>
  <c r="J202" i="8"/>
  <c r="P202" i="8" s="1"/>
  <c r="J204" i="8"/>
  <c r="P204" i="8" s="1"/>
  <c r="Q204" i="8"/>
  <c r="J205" i="8"/>
  <c r="P205" i="8" s="1"/>
  <c r="Q205" i="8"/>
  <c r="J206" i="8"/>
  <c r="P206" i="8" s="1"/>
  <c r="Q206" i="8"/>
  <c r="H207" i="8"/>
  <c r="N207" i="8"/>
  <c r="J209" i="8"/>
  <c r="P209" i="8" s="1"/>
  <c r="Q209" i="8"/>
  <c r="J211" i="8"/>
  <c r="P211" i="8" s="1"/>
  <c r="Q211" i="8"/>
  <c r="J213" i="8"/>
  <c r="P213" i="8" s="1"/>
  <c r="Q213" i="8"/>
  <c r="J215" i="8"/>
  <c r="P215" i="8" s="1"/>
  <c r="Q215" i="8"/>
  <c r="J217" i="8"/>
  <c r="P217" i="8" s="1"/>
  <c r="Q217" i="8"/>
  <c r="J219" i="8"/>
  <c r="P219" i="8" s="1"/>
  <c r="Q219" i="8"/>
  <c r="J221" i="8"/>
  <c r="P221" i="8" s="1"/>
  <c r="Q221" i="8"/>
  <c r="J223" i="8"/>
  <c r="P223" i="8" s="1"/>
  <c r="Q223" i="8"/>
  <c r="J225" i="8"/>
  <c r="P225" i="8" s="1"/>
  <c r="Q225" i="8"/>
  <c r="J227" i="8"/>
  <c r="P227" i="8" s="1"/>
  <c r="Q227" i="8"/>
  <c r="J229" i="8"/>
  <c r="P229" i="8" s="1"/>
  <c r="Q229" i="8"/>
  <c r="J231" i="8"/>
  <c r="P231" i="8" s="1"/>
  <c r="Q231" i="8"/>
  <c r="J233" i="8"/>
  <c r="P233" i="8" s="1"/>
  <c r="Q233" i="8"/>
  <c r="J235" i="8"/>
  <c r="P235" i="8" s="1"/>
  <c r="Q235" i="8"/>
  <c r="J237" i="8"/>
  <c r="P237" i="8" s="1"/>
  <c r="Q237" i="8"/>
  <c r="J239" i="8"/>
  <c r="P239" i="8" s="1"/>
  <c r="Q239" i="8"/>
  <c r="J241" i="8"/>
  <c r="P241" i="8" s="1"/>
  <c r="Q241" i="8"/>
  <c r="J243" i="8"/>
  <c r="P243" i="8" s="1"/>
  <c r="Q243" i="8"/>
  <c r="J245" i="8"/>
  <c r="P245" i="8" s="1"/>
  <c r="Q245" i="8"/>
  <c r="J247" i="8"/>
  <c r="P247" i="8" s="1"/>
  <c r="Q247" i="8"/>
  <c r="J249" i="8"/>
  <c r="P249" i="8" s="1"/>
  <c r="Q249" i="8"/>
  <c r="J251" i="8"/>
  <c r="P251" i="8" s="1"/>
  <c r="Q251" i="8"/>
  <c r="J253" i="8"/>
  <c r="P253" i="8" s="1"/>
  <c r="J255" i="8"/>
  <c r="P255" i="8" s="1"/>
  <c r="I207" i="8"/>
  <c r="J208" i="8"/>
  <c r="P208" i="8" s="1"/>
  <c r="J210" i="8"/>
  <c r="P210" i="8" s="1"/>
  <c r="J212" i="8"/>
  <c r="P212" i="8" s="1"/>
  <c r="J214" i="8"/>
  <c r="P214" i="8" s="1"/>
  <c r="J216" i="8"/>
  <c r="P216" i="8" s="1"/>
  <c r="J218" i="8"/>
  <c r="P218" i="8" s="1"/>
  <c r="J220" i="8"/>
  <c r="P220" i="8" s="1"/>
  <c r="J222" i="8"/>
  <c r="P222" i="8" s="1"/>
  <c r="J224" i="8"/>
  <c r="P224" i="8" s="1"/>
  <c r="J226" i="8"/>
  <c r="P226" i="8" s="1"/>
  <c r="J228" i="8"/>
  <c r="P228" i="8" s="1"/>
  <c r="J230" i="8"/>
  <c r="P230" i="8" s="1"/>
  <c r="J232" i="8"/>
  <c r="P232" i="8" s="1"/>
  <c r="J234" i="8"/>
  <c r="P234" i="8" s="1"/>
  <c r="J236" i="8"/>
  <c r="P236" i="8" s="1"/>
  <c r="J238" i="8"/>
  <c r="P238" i="8" s="1"/>
  <c r="J240" i="8"/>
  <c r="P240" i="8" s="1"/>
  <c r="J242" i="8"/>
  <c r="P242" i="8" s="1"/>
  <c r="J244" i="8"/>
  <c r="P244" i="8" s="1"/>
  <c r="J246" i="8"/>
  <c r="P246" i="8" s="1"/>
  <c r="J248" i="8"/>
  <c r="P248" i="8" s="1"/>
  <c r="J250" i="8"/>
  <c r="P250" i="8" s="1"/>
  <c r="J252" i="8"/>
  <c r="P252" i="8" s="1"/>
  <c r="J254" i="8"/>
  <c r="P254" i="8" s="1"/>
  <c r="J256" i="8"/>
  <c r="P256" i="8" s="1"/>
  <c r="J258" i="8"/>
  <c r="P258" i="8" s="1"/>
  <c r="Q258" i="8"/>
  <c r="J260" i="8"/>
  <c r="P260" i="8" s="1"/>
  <c r="Q260" i="8"/>
  <c r="J262" i="8"/>
  <c r="P262" i="8" s="1"/>
  <c r="Q262" i="8"/>
  <c r="J257" i="8"/>
  <c r="P257" i="8" s="1"/>
  <c r="J259" i="8"/>
  <c r="P259" i="8" s="1"/>
  <c r="J261" i="8"/>
  <c r="P261" i="8" s="1"/>
  <c r="J176" i="8" l="1"/>
  <c r="P176" i="8" s="1"/>
  <c r="R176" i="8" s="1"/>
  <c r="U176" i="8" s="1"/>
  <c r="V176" i="8" s="1"/>
  <c r="X176" i="8" s="1"/>
  <c r="L263" i="8"/>
  <c r="N263" i="8"/>
  <c r="I263" i="8"/>
  <c r="R202" i="8"/>
  <c r="U202" i="8" s="1"/>
  <c r="V202" i="8" s="1"/>
  <c r="X202" i="8" s="1"/>
  <c r="R200" i="8"/>
  <c r="U200" i="8" s="1"/>
  <c r="V200" i="8" s="1"/>
  <c r="X200" i="8" s="1"/>
  <c r="R198" i="8"/>
  <c r="U198" i="8" s="1"/>
  <c r="V198" i="8" s="1"/>
  <c r="X198" i="8" s="1"/>
  <c r="R196" i="8"/>
  <c r="U196" i="8" s="1"/>
  <c r="V196" i="8" s="1"/>
  <c r="X196" i="8" s="1"/>
  <c r="R194" i="8"/>
  <c r="U194" i="8" s="1"/>
  <c r="V194" i="8" s="1"/>
  <c r="X194" i="8" s="1"/>
  <c r="R192" i="8"/>
  <c r="U192" i="8" s="1"/>
  <c r="V192" i="8" s="1"/>
  <c r="X192" i="8" s="1"/>
  <c r="R190" i="8"/>
  <c r="U190" i="8" s="1"/>
  <c r="V190" i="8" s="1"/>
  <c r="R188" i="8"/>
  <c r="U188" i="8" s="1"/>
  <c r="V188" i="8" s="1"/>
  <c r="X188" i="8" s="1"/>
  <c r="R186" i="8"/>
  <c r="U186" i="8" s="1"/>
  <c r="V186" i="8" s="1"/>
  <c r="X186" i="8" s="1"/>
  <c r="R184" i="8"/>
  <c r="U184" i="8" s="1"/>
  <c r="V184" i="8" s="1"/>
  <c r="X184" i="8" s="1"/>
  <c r="R182" i="8"/>
  <c r="U182" i="8" s="1"/>
  <c r="V182" i="8" s="1"/>
  <c r="X182" i="8" s="1"/>
  <c r="R180" i="8"/>
  <c r="U180" i="8" s="1"/>
  <c r="V180" i="8" s="1"/>
  <c r="X180" i="8" s="1"/>
  <c r="R178" i="8"/>
  <c r="U178" i="8" s="1"/>
  <c r="V178" i="8" s="1"/>
  <c r="X178" i="8" s="1"/>
  <c r="R162" i="8"/>
  <c r="U162" i="8" s="1"/>
  <c r="V162" i="8" s="1"/>
  <c r="X162" i="8" s="1"/>
  <c r="R160" i="8"/>
  <c r="U160" i="8" s="1"/>
  <c r="V160" i="8" s="1"/>
  <c r="X160" i="8" s="1"/>
  <c r="R158" i="8"/>
  <c r="U158" i="8" s="1"/>
  <c r="V158" i="8" s="1"/>
  <c r="X158" i="8" s="1"/>
  <c r="R156" i="8"/>
  <c r="U156" i="8" s="1"/>
  <c r="V156" i="8" s="1"/>
  <c r="X156" i="8" s="1"/>
  <c r="R154" i="8"/>
  <c r="U154" i="8" s="1"/>
  <c r="V154" i="8" s="1"/>
  <c r="X154" i="8" s="1"/>
  <c r="R152" i="8"/>
  <c r="U152" i="8" s="1"/>
  <c r="V152" i="8" s="1"/>
  <c r="X152" i="8" s="1"/>
  <c r="R150" i="8"/>
  <c r="U150" i="8" s="1"/>
  <c r="V150" i="8" s="1"/>
  <c r="X150" i="8" s="1"/>
  <c r="R148" i="8"/>
  <c r="U148" i="8" s="1"/>
  <c r="V148" i="8" s="1"/>
  <c r="X148" i="8" s="1"/>
  <c r="R146" i="8"/>
  <c r="U146" i="8" s="1"/>
  <c r="V146" i="8" s="1"/>
  <c r="X146" i="8" s="1"/>
  <c r="R144" i="8"/>
  <c r="U144" i="8" s="1"/>
  <c r="V144" i="8" s="1"/>
  <c r="X144" i="8" s="1"/>
  <c r="R142" i="8"/>
  <c r="U142" i="8" s="1"/>
  <c r="V142" i="8" s="1"/>
  <c r="X142" i="8" s="1"/>
  <c r="R140" i="8"/>
  <c r="U140" i="8" s="1"/>
  <c r="V140" i="8" s="1"/>
  <c r="X140" i="8" s="1"/>
  <c r="R138" i="8"/>
  <c r="U138" i="8" s="1"/>
  <c r="V138" i="8" s="1"/>
  <c r="X138" i="8" s="1"/>
  <c r="R136" i="8"/>
  <c r="U136" i="8" s="1"/>
  <c r="V136" i="8" s="1"/>
  <c r="X136" i="8" s="1"/>
  <c r="R134" i="8"/>
  <c r="U134" i="8" s="1"/>
  <c r="V134" i="8" s="1"/>
  <c r="X134" i="8" s="1"/>
  <c r="R132" i="8"/>
  <c r="U132" i="8" s="1"/>
  <c r="V132" i="8" s="1"/>
  <c r="X132" i="8" s="1"/>
  <c r="R130" i="8"/>
  <c r="U130" i="8" s="1"/>
  <c r="V130" i="8" s="1"/>
  <c r="X130" i="8" s="1"/>
  <c r="R128" i="8"/>
  <c r="U128" i="8" s="1"/>
  <c r="V128" i="8" s="1"/>
  <c r="X128" i="8" s="1"/>
  <c r="R126" i="8"/>
  <c r="U126" i="8" s="1"/>
  <c r="V126" i="8" s="1"/>
  <c r="X126" i="8" s="1"/>
  <c r="R124" i="8"/>
  <c r="U124" i="8" s="1"/>
  <c r="V124" i="8" s="1"/>
  <c r="X124" i="8" s="1"/>
  <c r="R122" i="8"/>
  <c r="U122" i="8" s="1"/>
  <c r="V122" i="8" s="1"/>
  <c r="X122" i="8" s="1"/>
  <c r="R120" i="8"/>
  <c r="U120" i="8" s="1"/>
  <c r="V120" i="8" s="1"/>
  <c r="X120" i="8" s="1"/>
  <c r="R118" i="8"/>
  <c r="U118" i="8" s="1"/>
  <c r="V118" i="8" s="1"/>
  <c r="X118" i="8" s="1"/>
  <c r="R116" i="8"/>
  <c r="U116" i="8" s="1"/>
  <c r="V116" i="8" s="1"/>
  <c r="X116" i="8" s="1"/>
  <c r="R114" i="8"/>
  <c r="U114" i="8" s="1"/>
  <c r="V114" i="8" s="1"/>
  <c r="X114" i="8" s="1"/>
  <c r="R112" i="8"/>
  <c r="U112" i="8" s="1"/>
  <c r="V112" i="8" s="1"/>
  <c r="X112" i="8" s="1"/>
  <c r="R110" i="8"/>
  <c r="U110" i="8" s="1"/>
  <c r="V110" i="8" s="1"/>
  <c r="X110" i="8" s="1"/>
  <c r="R108" i="8"/>
  <c r="U108" i="8" s="1"/>
  <c r="V108" i="8" s="1"/>
  <c r="X108" i="8" s="1"/>
  <c r="R24" i="8"/>
  <c r="U24" i="8" s="1"/>
  <c r="V24" i="8" s="1"/>
  <c r="R22" i="8"/>
  <c r="U22" i="8" s="1"/>
  <c r="V22" i="8" s="1"/>
  <c r="R20" i="8"/>
  <c r="U20" i="8" s="1"/>
  <c r="V20" i="8" s="1"/>
  <c r="R18" i="8"/>
  <c r="U18" i="8" s="1"/>
  <c r="V18" i="8" s="1"/>
  <c r="R16" i="8"/>
  <c r="U16" i="8" s="1"/>
  <c r="V16" i="8" s="1"/>
  <c r="R14" i="8"/>
  <c r="U14" i="8" s="1"/>
  <c r="V14" i="8" s="1"/>
  <c r="R12" i="8"/>
  <c r="U12" i="8" s="1"/>
  <c r="V12" i="8" s="1"/>
  <c r="R10" i="8"/>
  <c r="U10" i="8" s="1"/>
  <c r="V10" i="8" s="1"/>
  <c r="X10" i="8" s="1"/>
  <c r="R8" i="8"/>
  <c r="U8" i="8" s="1"/>
  <c r="V8" i="8" s="1"/>
  <c r="R6" i="8"/>
  <c r="U6" i="8" s="1"/>
  <c r="V6" i="8" s="1"/>
  <c r="R261" i="8"/>
  <c r="U261" i="8" s="1"/>
  <c r="V261" i="8" s="1"/>
  <c r="X261" i="8" s="1"/>
  <c r="R259" i="8"/>
  <c r="U259" i="8" s="1"/>
  <c r="V259" i="8" s="1"/>
  <c r="X259" i="8" s="1"/>
  <c r="R257" i="8"/>
  <c r="U257" i="8" s="1"/>
  <c r="V257" i="8" s="1"/>
  <c r="X257" i="8" s="1"/>
  <c r="R256" i="8"/>
  <c r="U256" i="8" s="1"/>
  <c r="V256" i="8" s="1"/>
  <c r="X256" i="8" s="1"/>
  <c r="R254" i="8"/>
  <c r="U254" i="8" s="1"/>
  <c r="V254" i="8" s="1"/>
  <c r="X254" i="8" s="1"/>
  <c r="R252" i="8"/>
  <c r="U252" i="8" s="1"/>
  <c r="V252" i="8" s="1"/>
  <c r="X252" i="8" s="1"/>
  <c r="R250" i="8"/>
  <c r="U250" i="8" s="1"/>
  <c r="V250" i="8" s="1"/>
  <c r="X250" i="8" s="1"/>
  <c r="R248" i="8"/>
  <c r="U248" i="8" s="1"/>
  <c r="V248" i="8" s="1"/>
  <c r="X248" i="8" s="1"/>
  <c r="R246" i="8"/>
  <c r="U246" i="8" s="1"/>
  <c r="V246" i="8" s="1"/>
  <c r="X246" i="8" s="1"/>
  <c r="R244" i="8"/>
  <c r="U244" i="8" s="1"/>
  <c r="V244" i="8" s="1"/>
  <c r="X244" i="8" s="1"/>
  <c r="R242" i="8"/>
  <c r="U242" i="8" s="1"/>
  <c r="V242" i="8" s="1"/>
  <c r="X242" i="8" s="1"/>
  <c r="R240" i="8"/>
  <c r="U240" i="8" s="1"/>
  <c r="V240" i="8" s="1"/>
  <c r="X240" i="8" s="1"/>
  <c r="R238" i="8"/>
  <c r="U238" i="8" s="1"/>
  <c r="V238" i="8" s="1"/>
  <c r="X238" i="8" s="1"/>
  <c r="R236" i="8"/>
  <c r="U236" i="8" s="1"/>
  <c r="V236" i="8" s="1"/>
  <c r="X236" i="8" s="1"/>
  <c r="R234" i="8"/>
  <c r="U234" i="8" s="1"/>
  <c r="V234" i="8" s="1"/>
  <c r="X234" i="8" s="1"/>
  <c r="R232" i="8"/>
  <c r="U232" i="8" s="1"/>
  <c r="V232" i="8" s="1"/>
  <c r="X232" i="8" s="1"/>
  <c r="R230" i="8"/>
  <c r="U230" i="8" s="1"/>
  <c r="V230" i="8" s="1"/>
  <c r="X230" i="8" s="1"/>
  <c r="R228" i="8"/>
  <c r="U228" i="8" s="1"/>
  <c r="V228" i="8" s="1"/>
  <c r="X228" i="8" s="1"/>
  <c r="R226" i="8"/>
  <c r="U226" i="8" s="1"/>
  <c r="V226" i="8" s="1"/>
  <c r="X226" i="8" s="1"/>
  <c r="R224" i="8"/>
  <c r="U224" i="8" s="1"/>
  <c r="V224" i="8" s="1"/>
  <c r="X224" i="8" s="1"/>
  <c r="R222" i="8"/>
  <c r="U222" i="8" s="1"/>
  <c r="V222" i="8" s="1"/>
  <c r="X222" i="8" s="1"/>
  <c r="R220" i="8"/>
  <c r="U220" i="8" s="1"/>
  <c r="V220" i="8" s="1"/>
  <c r="X220" i="8" s="1"/>
  <c r="R218" i="8"/>
  <c r="U218" i="8" s="1"/>
  <c r="V218" i="8" s="1"/>
  <c r="X218" i="8" s="1"/>
  <c r="R216" i="8"/>
  <c r="U216" i="8" s="1"/>
  <c r="V216" i="8" s="1"/>
  <c r="X216" i="8" s="1"/>
  <c r="R214" i="8"/>
  <c r="U214" i="8" s="1"/>
  <c r="V214" i="8" s="1"/>
  <c r="X214" i="8" s="1"/>
  <c r="R212" i="8"/>
  <c r="U212" i="8" s="1"/>
  <c r="V212" i="8" s="1"/>
  <c r="X212" i="8" s="1"/>
  <c r="R210" i="8"/>
  <c r="U210" i="8" s="1"/>
  <c r="V210" i="8" s="1"/>
  <c r="X210" i="8" s="1"/>
  <c r="R208" i="8"/>
  <c r="U208" i="8" s="1"/>
  <c r="V208" i="8" s="1"/>
  <c r="X208" i="8" s="1"/>
  <c r="R175" i="8"/>
  <c r="U175" i="8" s="1"/>
  <c r="V175" i="8" s="1"/>
  <c r="X175" i="8" s="1"/>
  <c r="R173" i="8"/>
  <c r="U173" i="8" s="1"/>
  <c r="V173" i="8" s="1"/>
  <c r="X173" i="8" s="1"/>
  <c r="R171" i="8"/>
  <c r="U171" i="8" s="1"/>
  <c r="V171" i="8" s="1"/>
  <c r="X171" i="8" s="1"/>
  <c r="R169" i="8"/>
  <c r="U169" i="8" s="1"/>
  <c r="V169" i="8" s="1"/>
  <c r="X169" i="8" s="1"/>
  <c r="R167" i="8"/>
  <c r="U167" i="8" s="1"/>
  <c r="V167" i="8" s="1"/>
  <c r="X167" i="8" s="1"/>
  <c r="R165" i="8"/>
  <c r="U165" i="8" s="1"/>
  <c r="V165" i="8" s="1"/>
  <c r="X165" i="8" s="1"/>
  <c r="R104" i="8"/>
  <c r="U104" i="8" s="1"/>
  <c r="V104" i="8" s="1"/>
  <c r="X104" i="8" s="1"/>
  <c r="R94" i="8"/>
  <c r="U94" i="8" s="1"/>
  <c r="V94" i="8" s="1"/>
  <c r="X94" i="8" s="1"/>
  <c r="R92" i="8"/>
  <c r="U92" i="8" s="1"/>
  <c r="V92" i="8" s="1"/>
  <c r="X92" i="8" s="1"/>
  <c r="R90" i="8"/>
  <c r="U90" i="8" s="1"/>
  <c r="V90" i="8" s="1"/>
  <c r="X90" i="8" s="1"/>
  <c r="R88" i="8"/>
  <c r="U88" i="8" s="1"/>
  <c r="V88" i="8" s="1"/>
  <c r="X88" i="8" s="1"/>
  <c r="R86" i="8"/>
  <c r="U86" i="8" s="1"/>
  <c r="V86" i="8" s="1"/>
  <c r="X86" i="8" s="1"/>
  <c r="R84" i="8"/>
  <c r="U84" i="8" s="1"/>
  <c r="V84" i="8" s="1"/>
  <c r="X84" i="8" s="1"/>
  <c r="R82" i="8"/>
  <c r="U82" i="8" s="1"/>
  <c r="V82" i="8" s="1"/>
  <c r="X82" i="8" s="1"/>
  <c r="R80" i="8"/>
  <c r="U80" i="8" s="1"/>
  <c r="V80" i="8" s="1"/>
  <c r="X80" i="8" s="1"/>
  <c r="R78" i="8"/>
  <c r="U78" i="8" s="1"/>
  <c r="V78" i="8" s="1"/>
  <c r="X78" i="8" s="1"/>
  <c r="R76" i="8"/>
  <c r="U76" i="8" s="1"/>
  <c r="V76" i="8" s="1"/>
  <c r="X76" i="8" s="1"/>
  <c r="R74" i="8"/>
  <c r="U74" i="8" s="1"/>
  <c r="V74" i="8" s="1"/>
  <c r="X74" i="8" s="1"/>
  <c r="R72" i="8"/>
  <c r="U72" i="8" s="1"/>
  <c r="V72" i="8" s="1"/>
  <c r="X72" i="8" s="1"/>
  <c r="R70" i="8"/>
  <c r="U70" i="8" s="1"/>
  <c r="V70" i="8" s="1"/>
  <c r="X70" i="8" s="1"/>
  <c r="R68" i="8"/>
  <c r="U68" i="8" s="1"/>
  <c r="V68" i="8" s="1"/>
  <c r="X68" i="8" s="1"/>
  <c r="R66" i="8"/>
  <c r="U66" i="8" s="1"/>
  <c r="V66" i="8" s="1"/>
  <c r="X66" i="8" s="1"/>
  <c r="R64" i="8"/>
  <c r="U64" i="8" s="1"/>
  <c r="V64" i="8" s="1"/>
  <c r="X64" i="8" s="1"/>
  <c r="R62" i="8"/>
  <c r="U62" i="8" s="1"/>
  <c r="V62" i="8" s="1"/>
  <c r="X62" i="8" s="1"/>
  <c r="R60" i="8"/>
  <c r="U60" i="8" s="1"/>
  <c r="V60" i="8" s="1"/>
  <c r="X60" i="8" s="1"/>
  <c r="R58" i="8"/>
  <c r="U58" i="8" s="1"/>
  <c r="V58" i="8" s="1"/>
  <c r="X58" i="8" s="1"/>
  <c r="R55" i="8"/>
  <c r="U55" i="8" s="1"/>
  <c r="V55" i="8" s="1"/>
  <c r="R53" i="8"/>
  <c r="U53" i="8" s="1"/>
  <c r="V53" i="8" s="1"/>
  <c r="R51" i="8"/>
  <c r="U51" i="8" s="1"/>
  <c r="V51" i="8" s="1"/>
  <c r="X51" i="8" s="1"/>
  <c r="R49" i="8"/>
  <c r="U49" i="8" s="1"/>
  <c r="V49" i="8" s="1"/>
  <c r="X49" i="8" s="1"/>
  <c r="R47" i="8"/>
  <c r="U47" i="8" s="1"/>
  <c r="V47" i="8" s="1"/>
  <c r="X47" i="8" s="1"/>
  <c r="R45" i="8"/>
  <c r="U45" i="8" s="1"/>
  <c r="V45" i="8" s="1"/>
  <c r="X45" i="8" s="1"/>
  <c r="R43" i="8"/>
  <c r="U43" i="8" s="1"/>
  <c r="V43" i="8" s="1"/>
  <c r="X43" i="8" s="1"/>
  <c r="R41" i="8"/>
  <c r="U41" i="8" s="1"/>
  <c r="V41" i="8" s="1"/>
  <c r="X41" i="8" s="1"/>
  <c r="R39" i="8"/>
  <c r="U39" i="8" s="1"/>
  <c r="V39" i="8" s="1"/>
  <c r="X39" i="8" s="1"/>
  <c r="R37" i="8"/>
  <c r="U37" i="8" s="1"/>
  <c r="V37" i="8" s="1"/>
  <c r="X37" i="8" s="1"/>
  <c r="R35" i="8"/>
  <c r="U35" i="8" s="1"/>
  <c r="V35" i="8" s="1"/>
  <c r="X35" i="8" s="1"/>
  <c r="R33" i="8"/>
  <c r="U33" i="8" s="1"/>
  <c r="V33" i="8" s="1"/>
  <c r="X33" i="8" s="1"/>
  <c r="R31" i="8"/>
  <c r="U31" i="8" s="1"/>
  <c r="V31" i="8" s="1"/>
  <c r="X31" i="8" s="1"/>
  <c r="R29" i="8"/>
  <c r="U29" i="8" s="1"/>
  <c r="V29" i="8" s="1"/>
  <c r="X29" i="8" s="1"/>
  <c r="R27" i="8"/>
  <c r="U27" i="8" s="1"/>
  <c r="V27" i="8" s="1"/>
  <c r="R25" i="8"/>
  <c r="U25" i="8" s="1"/>
  <c r="V25" i="8" s="1"/>
  <c r="X25" i="8" s="1"/>
  <c r="R23" i="8"/>
  <c r="U23" i="8" s="1"/>
  <c r="V23" i="8" s="1"/>
  <c r="R7" i="8"/>
  <c r="U7" i="8" s="1"/>
  <c r="V7" i="8" s="1"/>
  <c r="R105" i="8"/>
  <c r="U105" i="8" s="1"/>
  <c r="V105" i="8" s="1"/>
  <c r="X105" i="8" s="1"/>
  <c r="R206" i="8"/>
  <c r="U206" i="8" s="1"/>
  <c r="V206" i="8" s="1"/>
  <c r="X206" i="8" s="1"/>
  <c r="R204" i="8"/>
  <c r="U204" i="8" s="1"/>
  <c r="V204" i="8" s="1"/>
  <c r="X204" i="8" s="1"/>
  <c r="R174" i="8"/>
  <c r="U174" i="8" s="1"/>
  <c r="V174" i="8" s="1"/>
  <c r="X174" i="8" s="1"/>
  <c r="R172" i="8"/>
  <c r="U172" i="8" s="1"/>
  <c r="V172" i="8" s="1"/>
  <c r="X172" i="8" s="1"/>
  <c r="R170" i="8"/>
  <c r="U170" i="8" s="1"/>
  <c r="V170" i="8" s="1"/>
  <c r="X170" i="8" s="1"/>
  <c r="R168" i="8"/>
  <c r="U168" i="8" s="1"/>
  <c r="V168" i="8" s="1"/>
  <c r="X168" i="8" s="1"/>
  <c r="R166" i="8"/>
  <c r="U166" i="8" s="1"/>
  <c r="V166" i="8" s="1"/>
  <c r="X166" i="8" s="1"/>
  <c r="R164" i="8"/>
  <c r="U164" i="8" s="1"/>
  <c r="V164" i="8" s="1"/>
  <c r="X164" i="8" s="1"/>
  <c r="R100" i="8"/>
  <c r="U100" i="8" s="1"/>
  <c r="V100" i="8" s="1"/>
  <c r="X100" i="8" s="1"/>
  <c r="R96" i="8"/>
  <c r="U96" i="8" s="1"/>
  <c r="V96" i="8" s="1"/>
  <c r="X96" i="8" s="1"/>
  <c r="R95" i="8"/>
  <c r="U95" i="8" s="1"/>
  <c r="V95" i="8" s="1"/>
  <c r="X95" i="8" s="1"/>
  <c r="R93" i="8"/>
  <c r="U93" i="8" s="1"/>
  <c r="V93" i="8" s="1"/>
  <c r="X93" i="8" s="1"/>
  <c r="R91" i="8"/>
  <c r="R89" i="8"/>
  <c r="U89" i="8" s="1"/>
  <c r="V89" i="8" s="1"/>
  <c r="R87" i="8"/>
  <c r="U87" i="8" s="1"/>
  <c r="V87" i="8" s="1"/>
  <c r="X87" i="8" s="1"/>
  <c r="R85" i="8"/>
  <c r="U85" i="8" s="1"/>
  <c r="V85" i="8" s="1"/>
  <c r="X85" i="8" s="1"/>
  <c r="R83" i="8"/>
  <c r="U83" i="8" s="1"/>
  <c r="V83" i="8" s="1"/>
  <c r="X83" i="8" s="1"/>
  <c r="R81" i="8"/>
  <c r="U81" i="8" s="1"/>
  <c r="V81" i="8" s="1"/>
  <c r="X81" i="8" s="1"/>
  <c r="R79" i="8"/>
  <c r="U79" i="8" s="1"/>
  <c r="V79" i="8" s="1"/>
  <c r="X79" i="8" s="1"/>
  <c r="R77" i="8"/>
  <c r="U77" i="8" s="1"/>
  <c r="V77" i="8" s="1"/>
  <c r="X77" i="8" s="1"/>
  <c r="R75" i="8"/>
  <c r="U75" i="8" s="1"/>
  <c r="V75" i="8" s="1"/>
  <c r="X75" i="8" s="1"/>
  <c r="R73" i="8"/>
  <c r="U73" i="8" s="1"/>
  <c r="V73" i="8" s="1"/>
  <c r="X73" i="8" s="1"/>
  <c r="R71" i="8"/>
  <c r="U71" i="8" s="1"/>
  <c r="V71" i="8" s="1"/>
  <c r="X71" i="8" s="1"/>
  <c r="R69" i="8"/>
  <c r="U69" i="8" s="1"/>
  <c r="V69" i="8" s="1"/>
  <c r="X69" i="8" s="1"/>
  <c r="R67" i="8"/>
  <c r="U67" i="8" s="1"/>
  <c r="V67" i="8" s="1"/>
  <c r="X67" i="8" s="1"/>
  <c r="R65" i="8"/>
  <c r="U65" i="8" s="1"/>
  <c r="V65" i="8" s="1"/>
  <c r="X65" i="8" s="1"/>
  <c r="R63" i="8"/>
  <c r="U63" i="8" s="1"/>
  <c r="V63" i="8" s="1"/>
  <c r="X63" i="8" s="1"/>
  <c r="R61" i="8"/>
  <c r="U61" i="8" s="1"/>
  <c r="V61" i="8" s="1"/>
  <c r="X61" i="8" s="1"/>
  <c r="R59" i="8"/>
  <c r="U59" i="8" s="1"/>
  <c r="V59" i="8" s="1"/>
  <c r="X59" i="8" s="1"/>
  <c r="R57" i="8"/>
  <c r="U57" i="8" s="1"/>
  <c r="V57" i="8" s="1"/>
  <c r="Q56" i="8"/>
  <c r="J56" i="8"/>
  <c r="P56" i="8" s="1"/>
  <c r="R54" i="8"/>
  <c r="U54" i="8" s="1"/>
  <c r="V54" i="8" s="1"/>
  <c r="X54" i="8" s="1"/>
  <c r="R52" i="8"/>
  <c r="U52" i="8" s="1"/>
  <c r="V52" i="8" s="1"/>
  <c r="X52" i="8" s="1"/>
  <c r="R50" i="8"/>
  <c r="U50" i="8" s="1"/>
  <c r="V50" i="8" s="1"/>
  <c r="X50" i="8" s="1"/>
  <c r="R48" i="8"/>
  <c r="U48" i="8" s="1"/>
  <c r="V48" i="8" s="1"/>
  <c r="X48" i="8" s="1"/>
  <c r="R46" i="8"/>
  <c r="U46" i="8" s="1"/>
  <c r="V46" i="8" s="1"/>
  <c r="R44" i="8"/>
  <c r="U44" i="8" s="1"/>
  <c r="V44" i="8" s="1"/>
  <c r="X44" i="8" s="1"/>
  <c r="R42" i="8"/>
  <c r="U42" i="8" s="1"/>
  <c r="V42" i="8" s="1"/>
  <c r="X42" i="8" s="1"/>
  <c r="R40" i="8"/>
  <c r="U40" i="8" s="1"/>
  <c r="V40" i="8" s="1"/>
  <c r="X40" i="8" s="1"/>
  <c r="R38" i="8"/>
  <c r="U38" i="8" s="1"/>
  <c r="V38" i="8" s="1"/>
  <c r="X38" i="8" s="1"/>
  <c r="R36" i="8"/>
  <c r="U36" i="8" s="1"/>
  <c r="V36" i="8" s="1"/>
  <c r="X36" i="8" s="1"/>
  <c r="R34" i="8"/>
  <c r="U34" i="8" s="1"/>
  <c r="V34" i="8" s="1"/>
  <c r="X34" i="8" s="1"/>
  <c r="R32" i="8"/>
  <c r="U32" i="8" s="1"/>
  <c r="V32" i="8" s="1"/>
  <c r="X32" i="8" s="1"/>
  <c r="R30" i="8"/>
  <c r="U30" i="8" s="1"/>
  <c r="V30" i="8" s="1"/>
  <c r="X30" i="8" s="1"/>
  <c r="R28" i="8"/>
  <c r="U28" i="8" s="1"/>
  <c r="V28" i="8" s="1"/>
  <c r="X28" i="8" s="1"/>
  <c r="R26" i="8"/>
  <c r="U26" i="8" s="1"/>
  <c r="V26" i="8" s="1"/>
  <c r="J106" i="8"/>
  <c r="P106" i="8" s="1"/>
  <c r="U91" i="8"/>
  <c r="V91" i="8" s="1"/>
  <c r="X91" i="8" s="1"/>
  <c r="Q106" i="8"/>
  <c r="S263" i="8"/>
  <c r="R262" i="8"/>
  <c r="U262" i="8" s="1"/>
  <c r="V262" i="8" s="1"/>
  <c r="X262" i="8" s="1"/>
  <c r="R260" i="8"/>
  <c r="U260" i="8" s="1"/>
  <c r="V260" i="8" s="1"/>
  <c r="X260" i="8" s="1"/>
  <c r="R258" i="8"/>
  <c r="U258" i="8" s="1"/>
  <c r="V258" i="8" s="1"/>
  <c r="X258" i="8" s="1"/>
  <c r="R255" i="8"/>
  <c r="U255" i="8" s="1"/>
  <c r="V255" i="8" s="1"/>
  <c r="X255" i="8" s="1"/>
  <c r="R253" i="8"/>
  <c r="U253" i="8" s="1"/>
  <c r="V253" i="8" s="1"/>
  <c r="X253" i="8" s="1"/>
  <c r="R251" i="8"/>
  <c r="U251" i="8" s="1"/>
  <c r="V251" i="8" s="1"/>
  <c r="X251" i="8" s="1"/>
  <c r="R249" i="8"/>
  <c r="U249" i="8" s="1"/>
  <c r="V249" i="8" s="1"/>
  <c r="X249" i="8" s="1"/>
  <c r="R247" i="8"/>
  <c r="U247" i="8" s="1"/>
  <c r="V247" i="8" s="1"/>
  <c r="X247" i="8" s="1"/>
  <c r="R245" i="8"/>
  <c r="U245" i="8" s="1"/>
  <c r="V245" i="8" s="1"/>
  <c r="X245" i="8" s="1"/>
  <c r="R243" i="8"/>
  <c r="U243" i="8" s="1"/>
  <c r="V243" i="8" s="1"/>
  <c r="X243" i="8" s="1"/>
  <c r="R241" i="8"/>
  <c r="U241" i="8" s="1"/>
  <c r="V241" i="8" s="1"/>
  <c r="X241" i="8" s="1"/>
  <c r="R239" i="8"/>
  <c r="U239" i="8" s="1"/>
  <c r="V239" i="8" s="1"/>
  <c r="X239" i="8" s="1"/>
  <c r="R237" i="8"/>
  <c r="U237" i="8" s="1"/>
  <c r="V237" i="8" s="1"/>
  <c r="X237" i="8" s="1"/>
  <c r="R235" i="8"/>
  <c r="U235" i="8" s="1"/>
  <c r="V235" i="8" s="1"/>
  <c r="X235" i="8" s="1"/>
  <c r="R233" i="8"/>
  <c r="U233" i="8" s="1"/>
  <c r="V233" i="8" s="1"/>
  <c r="X233" i="8" s="1"/>
  <c r="R231" i="8"/>
  <c r="U231" i="8" s="1"/>
  <c r="V231" i="8" s="1"/>
  <c r="X231" i="8" s="1"/>
  <c r="R229" i="8"/>
  <c r="U229" i="8" s="1"/>
  <c r="V229" i="8" s="1"/>
  <c r="X229" i="8" s="1"/>
  <c r="R227" i="8"/>
  <c r="U227" i="8" s="1"/>
  <c r="V227" i="8" s="1"/>
  <c r="X227" i="8" s="1"/>
  <c r="R225" i="8"/>
  <c r="U225" i="8" s="1"/>
  <c r="V225" i="8" s="1"/>
  <c r="X225" i="8" s="1"/>
  <c r="R223" i="8"/>
  <c r="U223" i="8" s="1"/>
  <c r="V223" i="8" s="1"/>
  <c r="X223" i="8" s="1"/>
  <c r="R221" i="8"/>
  <c r="U221" i="8" s="1"/>
  <c r="V221" i="8" s="1"/>
  <c r="X221" i="8" s="1"/>
  <c r="R219" i="8"/>
  <c r="U219" i="8" s="1"/>
  <c r="V219" i="8" s="1"/>
  <c r="X219" i="8" s="1"/>
  <c r="R217" i="8"/>
  <c r="U217" i="8" s="1"/>
  <c r="V217" i="8" s="1"/>
  <c r="X217" i="8" s="1"/>
  <c r="R215" i="8"/>
  <c r="U215" i="8" s="1"/>
  <c r="V215" i="8" s="1"/>
  <c r="X215" i="8" s="1"/>
  <c r="R213" i="8"/>
  <c r="U213" i="8" s="1"/>
  <c r="V213" i="8" s="1"/>
  <c r="X213" i="8" s="1"/>
  <c r="R211" i="8"/>
  <c r="U211" i="8" s="1"/>
  <c r="V211" i="8" s="1"/>
  <c r="X211" i="8" s="1"/>
  <c r="R209" i="8"/>
  <c r="U209" i="8" s="1"/>
  <c r="V209" i="8" s="1"/>
  <c r="X209" i="8" s="1"/>
  <c r="R205" i="8"/>
  <c r="U205" i="8" s="1"/>
  <c r="V205" i="8" s="1"/>
  <c r="X205" i="8" s="1"/>
  <c r="Q207" i="8"/>
  <c r="J207" i="8"/>
  <c r="P207" i="8" s="1"/>
  <c r="R203" i="8"/>
  <c r="U203" i="8" s="1"/>
  <c r="V203" i="8" s="1"/>
  <c r="X203" i="8" s="1"/>
  <c r="R201" i="8"/>
  <c r="U201" i="8" s="1"/>
  <c r="V201" i="8" s="1"/>
  <c r="X201" i="8" s="1"/>
  <c r="R199" i="8"/>
  <c r="U199" i="8" s="1"/>
  <c r="V199" i="8" s="1"/>
  <c r="X199" i="8" s="1"/>
  <c r="R197" i="8"/>
  <c r="U197" i="8" s="1"/>
  <c r="V197" i="8" s="1"/>
  <c r="X197" i="8" s="1"/>
  <c r="R195" i="8"/>
  <c r="U195" i="8" s="1"/>
  <c r="V195" i="8" s="1"/>
  <c r="X195" i="8" s="1"/>
  <c r="R193" i="8"/>
  <c r="U193" i="8" s="1"/>
  <c r="V193" i="8" s="1"/>
  <c r="X193" i="8" s="1"/>
  <c r="R191" i="8"/>
  <c r="U191" i="8" s="1"/>
  <c r="V191" i="8" s="1"/>
  <c r="X191" i="8" s="1"/>
  <c r="R189" i="8"/>
  <c r="U189" i="8" s="1"/>
  <c r="V189" i="8" s="1"/>
  <c r="X189" i="8" s="1"/>
  <c r="R187" i="8"/>
  <c r="U187" i="8" s="1"/>
  <c r="V187" i="8" s="1"/>
  <c r="X187" i="8" s="1"/>
  <c r="R185" i="8"/>
  <c r="U185" i="8" s="1"/>
  <c r="V185" i="8" s="1"/>
  <c r="X185" i="8" s="1"/>
  <c r="R183" i="8"/>
  <c r="U183" i="8" s="1"/>
  <c r="V183" i="8" s="1"/>
  <c r="X183" i="8" s="1"/>
  <c r="R181" i="8"/>
  <c r="U181" i="8" s="1"/>
  <c r="V181" i="8" s="1"/>
  <c r="X181" i="8" s="1"/>
  <c r="R179" i="8"/>
  <c r="U179" i="8" s="1"/>
  <c r="V179" i="8" s="1"/>
  <c r="X179" i="8" s="1"/>
  <c r="R177" i="8"/>
  <c r="U177" i="8" s="1"/>
  <c r="V177" i="8" s="1"/>
  <c r="X177" i="8" s="1"/>
  <c r="Q163" i="8"/>
  <c r="J163" i="8"/>
  <c r="P163" i="8" s="1"/>
  <c r="R161" i="8"/>
  <c r="U161" i="8" s="1"/>
  <c r="V161" i="8" s="1"/>
  <c r="X161" i="8" s="1"/>
  <c r="R159" i="8"/>
  <c r="U159" i="8" s="1"/>
  <c r="V159" i="8" s="1"/>
  <c r="X159" i="8" s="1"/>
  <c r="R157" i="8"/>
  <c r="U157" i="8" s="1"/>
  <c r="V157" i="8" s="1"/>
  <c r="X157" i="8" s="1"/>
  <c r="R155" i="8"/>
  <c r="U155" i="8" s="1"/>
  <c r="V155" i="8" s="1"/>
  <c r="X155" i="8" s="1"/>
  <c r="R153" i="8"/>
  <c r="U153" i="8" s="1"/>
  <c r="V153" i="8" s="1"/>
  <c r="X153" i="8" s="1"/>
  <c r="R151" i="8"/>
  <c r="U151" i="8" s="1"/>
  <c r="V151" i="8" s="1"/>
  <c r="X151" i="8" s="1"/>
  <c r="R149" i="8"/>
  <c r="U149" i="8" s="1"/>
  <c r="V149" i="8" s="1"/>
  <c r="X149" i="8" s="1"/>
  <c r="R147" i="8"/>
  <c r="U147" i="8" s="1"/>
  <c r="V147" i="8" s="1"/>
  <c r="X147" i="8" s="1"/>
  <c r="R145" i="8"/>
  <c r="U145" i="8" s="1"/>
  <c r="V145" i="8" s="1"/>
  <c r="X145" i="8" s="1"/>
  <c r="R143" i="8"/>
  <c r="U143" i="8" s="1"/>
  <c r="V143" i="8" s="1"/>
  <c r="X143" i="8" s="1"/>
  <c r="R141" i="8"/>
  <c r="U141" i="8" s="1"/>
  <c r="V141" i="8" s="1"/>
  <c r="X141" i="8" s="1"/>
  <c r="R139" i="8"/>
  <c r="U139" i="8" s="1"/>
  <c r="V139" i="8" s="1"/>
  <c r="X139" i="8" s="1"/>
  <c r="R137" i="8"/>
  <c r="U137" i="8" s="1"/>
  <c r="V137" i="8" s="1"/>
  <c r="X137" i="8" s="1"/>
  <c r="R135" i="8"/>
  <c r="U135" i="8" s="1"/>
  <c r="V135" i="8" s="1"/>
  <c r="X135" i="8" s="1"/>
  <c r="R133" i="8"/>
  <c r="U133" i="8" s="1"/>
  <c r="V133" i="8" s="1"/>
  <c r="X133" i="8" s="1"/>
  <c r="R131" i="8"/>
  <c r="U131" i="8" s="1"/>
  <c r="V131" i="8" s="1"/>
  <c r="X131" i="8" s="1"/>
  <c r="R129" i="8"/>
  <c r="U129" i="8" s="1"/>
  <c r="V129" i="8" s="1"/>
  <c r="X129" i="8" s="1"/>
  <c r="R127" i="8"/>
  <c r="U127" i="8" s="1"/>
  <c r="V127" i="8" s="1"/>
  <c r="X127" i="8" s="1"/>
  <c r="R125" i="8"/>
  <c r="U125" i="8" s="1"/>
  <c r="V125" i="8" s="1"/>
  <c r="X125" i="8" s="1"/>
  <c r="R123" i="8"/>
  <c r="U123" i="8" s="1"/>
  <c r="V123" i="8" s="1"/>
  <c r="X123" i="8" s="1"/>
  <c r="R121" i="8"/>
  <c r="U121" i="8" s="1"/>
  <c r="V121" i="8" s="1"/>
  <c r="X121" i="8" s="1"/>
  <c r="R119" i="8"/>
  <c r="U119" i="8" s="1"/>
  <c r="V119" i="8" s="1"/>
  <c r="X119" i="8" s="1"/>
  <c r="R117" i="8"/>
  <c r="U117" i="8" s="1"/>
  <c r="V117" i="8" s="1"/>
  <c r="X117" i="8" s="1"/>
  <c r="R115" i="8"/>
  <c r="U115" i="8" s="1"/>
  <c r="V115" i="8" s="1"/>
  <c r="X115" i="8" s="1"/>
  <c r="R113" i="8"/>
  <c r="U113" i="8" s="1"/>
  <c r="V113" i="8" s="1"/>
  <c r="X113" i="8" s="1"/>
  <c r="R111" i="8"/>
  <c r="U111" i="8" s="1"/>
  <c r="V111" i="8" s="1"/>
  <c r="X111" i="8" s="1"/>
  <c r="R109" i="8"/>
  <c r="U109" i="8" s="1"/>
  <c r="V109" i="8" s="1"/>
  <c r="X109" i="8" s="1"/>
  <c r="R107" i="8"/>
  <c r="U107" i="8" s="1"/>
  <c r="V107" i="8" s="1"/>
  <c r="X107" i="8" s="1"/>
  <c r="R102" i="8"/>
  <c r="U102" i="8" s="1"/>
  <c r="V102" i="8" s="1"/>
  <c r="X102" i="8" s="1"/>
  <c r="R98" i="8"/>
  <c r="U98" i="8" s="1"/>
  <c r="V98" i="8" s="1"/>
  <c r="X98" i="8" s="1"/>
  <c r="R21" i="8"/>
  <c r="U21" i="8" s="1"/>
  <c r="V21" i="8" s="1"/>
  <c r="R19" i="8"/>
  <c r="U19" i="8" s="1"/>
  <c r="V19" i="8" s="1"/>
  <c r="R17" i="8"/>
  <c r="U17" i="8" s="1"/>
  <c r="V17" i="8" s="1"/>
  <c r="R15" i="8"/>
  <c r="U15" i="8" s="1"/>
  <c r="V15" i="8" s="1"/>
  <c r="X15" i="8" s="1"/>
  <c r="R13" i="8"/>
  <c r="U13" i="8" s="1"/>
  <c r="V13" i="8" s="1"/>
  <c r="R11" i="8"/>
  <c r="U11" i="8" s="1"/>
  <c r="V11" i="8" s="1"/>
  <c r="X11" i="8" s="1"/>
  <c r="R9" i="8"/>
  <c r="U9" i="8" s="1"/>
  <c r="V9" i="8" s="1"/>
  <c r="R103" i="8"/>
  <c r="U103" i="8" s="1"/>
  <c r="V103" i="8" s="1"/>
  <c r="X103" i="8" s="1"/>
  <c r="R101" i="8"/>
  <c r="U101" i="8" s="1"/>
  <c r="V101" i="8" s="1"/>
  <c r="X101" i="8" s="1"/>
  <c r="R99" i="8"/>
  <c r="U99" i="8" s="1"/>
  <c r="V99" i="8" s="1"/>
  <c r="X99" i="8" s="1"/>
  <c r="R97" i="8"/>
  <c r="U97" i="8" s="1"/>
  <c r="V97" i="8" s="1"/>
  <c r="H263" i="8"/>
  <c r="Q263" i="8" l="1"/>
  <c r="R207" i="8"/>
  <c r="U207" i="8" s="1"/>
  <c r="V207" i="8" s="1"/>
  <c r="X207" i="8" s="1"/>
  <c r="R106" i="8"/>
  <c r="U106" i="8" s="1"/>
  <c r="V106" i="8" s="1"/>
  <c r="X106" i="8" s="1"/>
  <c r="P263" i="8"/>
  <c r="R163" i="8"/>
  <c r="U163" i="8" s="1"/>
  <c r="V163" i="8" s="1"/>
  <c r="X163" i="8" s="1"/>
  <c r="J263" i="8"/>
  <c r="R56" i="8"/>
  <c r="R263" i="8" l="1"/>
  <c r="U56" i="8"/>
  <c r="V56" i="8" s="1"/>
  <c r="V263" i="8" l="1"/>
  <c r="U26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datta</author>
  </authors>
  <commentList>
    <comment ref="W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datta:</t>
        </r>
        <r>
          <rPr>
            <sz val="9"/>
            <color indexed="81"/>
            <rFont val="Tahoma"/>
            <family val="2"/>
          </rPr>
          <t xml:space="preserve">
To be transfer Santosh Sanas</t>
        </r>
      </text>
    </comment>
  </commentList>
</comments>
</file>

<file path=xl/sharedStrings.xml><?xml version="1.0" encoding="utf-8"?>
<sst xmlns="http://schemas.openxmlformats.org/spreadsheetml/2006/main" count="11558" uniqueCount="1915">
  <si>
    <t>Name of the</t>
  </si>
  <si>
    <t>D.O.J</t>
  </si>
  <si>
    <t>Department</t>
  </si>
  <si>
    <t>Days</t>
  </si>
  <si>
    <t>Earning</t>
  </si>
  <si>
    <t>Sub</t>
  </si>
  <si>
    <t>Convey</t>
  </si>
  <si>
    <t>Deduction</t>
  </si>
  <si>
    <t xml:space="preserve">Net </t>
  </si>
  <si>
    <t>Co Contribution</t>
  </si>
  <si>
    <t>Gross</t>
  </si>
  <si>
    <t>Candidate</t>
  </si>
  <si>
    <t>Worked</t>
  </si>
  <si>
    <t xml:space="preserve">Basic </t>
  </si>
  <si>
    <t>DA</t>
  </si>
  <si>
    <t>HRA</t>
  </si>
  <si>
    <t>Total</t>
  </si>
  <si>
    <t>PF</t>
  </si>
  <si>
    <t>ESIC</t>
  </si>
  <si>
    <t>PT</t>
  </si>
  <si>
    <t>Salary</t>
  </si>
  <si>
    <t>Advance</t>
  </si>
  <si>
    <t>CCA</t>
  </si>
  <si>
    <t>PANKAJ GUPTE</t>
  </si>
  <si>
    <t>M/s.B2B Labyrinth Solutions Pvt.Ltd.</t>
  </si>
  <si>
    <t>004835</t>
  </si>
  <si>
    <t>Sr.</t>
  </si>
  <si>
    <t>No.</t>
  </si>
  <si>
    <t>Emp.</t>
  </si>
  <si>
    <t>Code</t>
  </si>
  <si>
    <t>MANTU KUMAR SAH</t>
  </si>
  <si>
    <t>LWF</t>
  </si>
  <si>
    <t>005445</t>
  </si>
  <si>
    <t>VINOD KUMAR</t>
  </si>
  <si>
    <t>AJAY KUMAR</t>
  </si>
  <si>
    <t>SUMIT KUMAR SINGH</t>
  </si>
  <si>
    <t>005553</t>
  </si>
  <si>
    <t>005557</t>
  </si>
  <si>
    <t>005558</t>
  </si>
  <si>
    <t>SARVESH KUMAR</t>
  </si>
  <si>
    <t>RAHUL YADAV</t>
  </si>
  <si>
    <t>005704</t>
  </si>
  <si>
    <t>MANDAR TELI</t>
  </si>
  <si>
    <t>005742</t>
  </si>
  <si>
    <t>005741</t>
  </si>
  <si>
    <t>005838</t>
  </si>
  <si>
    <t>DHARAMPAL NEGI</t>
  </si>
  <si>
    <t xml:space="preserve">VINAY KUMAR </t>
  </si>
  <si>
    <t>PRAVEEN MONDE</t>
  </si>
  <si>
    <t>Location</t>
  </si>
  <si>
    <t>DELHI</t>
  </si>
  <si>
    <t>BHIWANDI</t>
  </si>
  <si>
    <t>LOWER PAREL</t>
  </si>
  <si>
    <t>SACHIN RAMANE</t>
  </si>
  <si>
    <t>SWAPNIL SALVI</t>
  </si>
  <si>
    <t>ABHISHEK MISHRA</t>
  </si>
  <si>
    <t>005902</t>
  </si>
  <si>
    <t>005903</t>
  </si>
  <si>
    <t>005911</t>
  </si>
  <si>
    <t>005987</t>
  </si>
  <si>
    <t>005988</t>
  </si>
  <si>
    <t>005989</t>
  </si>
  <si>
    <t>GOUTAM KUMAR</t>
  </si>
  <si>
    <t>UPENDER KUMAR</t>
  </si>
  <si>
    <t>RAJESH KUMAR RAM</t>
  </si>
  <si>
    <t>BIBHASH SINGH</t>
  </si>
  <si>
    <t>JAGAT SINGH</t>
  </si>
  <si>
    <t>BANGLORE</t>
  </si>
  <si>
    <t>MUNNILAL SAHU</t>
  </si>
  <si>
    <t>CCA Arres</t>
  </si>
  <si>
    <t>RAJENDRA BORKAR</t>
  </si>
  <si>
    <t>KHEM BAHADUR</t>
  </si>
  <si>
    <t>JOGENDRA PRASAD</t>
  </si>
  <si>
    <t>RAGHUNANDAN</t>
  </si>
  <si>
    <t>AMAN TRIPATHI</t>
  </si>
  <si>
    <t>VINAY KUMAR.S.P</t>
  </si>
  <si>
    <t>006226</t>
  </si>
  <si>
    <t>006228</t>
  </si>
  <si>
    <t>006230</t>
  </si>
  <si>
    <t>006233</t>
  </si>
  <si>
    <t>006236</t>
  </si>
  <si>
    <t>006241</t>
  </si>
  <si>
    <t>006249</t>
  </si>
  <si>
    <t>MAHESH PATIL</t>
  </si>
  <si>
    <t>MANISH KUMAR</t>
  </si>
  <si>
    <t>SHYAM LAL</t>
  </si>
  <si>
    <t>DHARAM VEER SHARMA</t>
  </si>
  <si>
    <t>RAJ JAISWAL</t>
  </si>
  <si>
    <t>006407</t>
  </si>
  <si>
    <t>006409</t>
  </si>
  <si>
    <t>006410</t>
  </si>
  <si>
    <t>006411</t>
  </si>
  <si>
    <t>006415</t>
  </si>
  <si>
    <t>006421</t>
  </si>
  <si>
    <t>006426</t>
  </si>
  <si>
    <t>GOPAL PARDESHI</t>
  </si>
  <si>
    <t>RAMNATH PATIL</t>
  </si>
  <si>
    <t>HRA Arreas</t>
  </si>
  <si>
    <t>Convy.Arreas</t>
  </si>
  <si>
    <t>006525</t>
  </si>
  <si>
    <t>006528</t>
  </si>
  <si>
    <t>006531</t>
  </si>
  <si>
    <t>006539</t>
  </si>
  <si>
    <t>006542</t>
  </si>
  <si>
    <t>006547</t>
  </si>
  <si>
    <t>006591</t>
  </si>
  <si>
    <t>DARSHAN SHINDE</t>
  </si>
  <si>
    <t>KAMLAKAR MHATRE</t>
  </si>
  <si>
    <t>JOYDEEP SACHINDRA MOHALI</t>
  </si>
  <si>
    <t>BHAVESH TULSHIDAS GHUGARE</t>
  </si>
  <si>
    <t>SURAJ HUSMUKH JAISWAL</t>
  </si>
  <si>
    <t>HASMUKH KISHANLAL JAISWAL</t>
  </si>
  <si>
    <t>ASHA HASMUKH JAISWAL</t>
  </si>
  <si>
    <t>ASHISH</t>
  </si>
  <si>
    <t>RAVI KUMAR KORI</t>
  </si>
  <si>
    <t>006621</t>
  </si>
  <si>
    <t>006622</t>
  </si>
  <si>
    <t>006730</t>
  </si>
  <si>
    <t>006733</t>
  </si>
  <si>
    <t>006734</t>
  </si>
  <si>
    <t>006707</t>
  </si>
  <si>
    <t>006708</t>
  </si>
  <si>
    <t>006714</t>
  </si>
  <si>
    <t>006717</t>
  </si>
  <si>
    <t>006722</t>
  </si>
  <si>
    <t>006723</t>
  </si>
  <si>
    <t>006724</t>
  </si>
  <si>
    <t>NEM CHANDRA</t>
  </si>
  <si>
    <t>GULSHAN KUMAR</t>
  </si>
  <si>
    <t>SIDHHESH DESHPANDE</t>
  </si>
  <si>
    <t>ANJANA MURTHY</t>
  </si>
  <si>
    <t>006825</t>
  </si>
  <si>
    <t>RAHUL CHILIVERI</t>
  </si>
  <si>
    <t>SWAPNESH PARAB</t>
  </si>
  <si>
    <t>PANDURANG HARISHCHANDRA WAFELKAR</t>
  </si>
  <si>
    <t>JAGDISH SINGH</t>
  </si>
  <si>
    <t>RAM RAJ</t>
  </si>
  <si>
    <t>BRIJESH SINGH</t>
  </si>
  <si>
    <t>SUMIT SUKLA</t>
  </si>
  <si>
    <t>KARTHIK H</t>
  </si>
  <si>
    <t>006923</t>
  </si>
  <si>
    <t>006926</t>
  </si>
  <si>
    <t>006937</t>
  </si>
  <si>
    <t>006953</t>
  </si>
  <si>
    <t>006962</t>
  </si>
  <si>
    <t>NILESH PRAKASH GUND</t>
  </si>
  <si>
    <t>JAYDIP SHANKAR PAWAR</t>
  </si>
  <si>
    <t>BITTUKUMAR UPENDRA PATEL</t>
  </si>
  <si>
    <t>RAVIKUMAR GURUPRAKASH JAISWAL</t>
  </si>
  <si>
    <t>M.D ABULESH</t>
  </si>
  <si>
    <t>VISHWANTH TIWARI</t>
  </si>
  <si>
    <t>SURESH</t>
  </si>
  <si>
    <t>UPDESH TIWARI</t>
  </si>
  <si>
    <t>AMAN KUMAR PRASAD</t>
  </si>
  <si>
    <t>SHANKER LAL</t>
  </si>
  <si>
    <t>SACHIN KUMAR</t>
  </si>
  <si>
    <t>VIJAYA KUMAR M</t>
  </si>
  <si>
    <t>VISHWANATHA M</t>
  </si>
  <si>
    <t>007066</t>
  </si>
  <si>
    <t>007073</t>
  </si>
  <si>
    <t>007074</t>
  </si>
  <si>
    <t>007081</t>
  </si>
  <si>
    <t>007084</t>
  </si>
  <si>
    <t>007086</t>
  </si>
  <si>
    <t>007087</t>
  </si>
  <si>
    <t>007101</t>
  </si>
  <si>
    <t>007102</t>
  </si>
  <si>
    <t>007106</t>
  </si>
  <si>
    <t>007107</t>
  </si>
  <si>
    <t>ASTHA YADAV</t>
  </si>
  <si>
    <t>NAVEEN MENEGS</t>
  </si>
  <si>
    <t>RAVINDRA GAWAND</t>
  </si>
  <si>
    <t>PARMILA GAWAND</t>
  </si>
  <si>
    <t>MANJUSH PANDEY</t>
  </si>
  <si>
    <t>PAWAN KUMAR SINGH</t>
  </si>
  <si>
    <t>UMESH  KUMAR</t>
  </si>
  <si>
    <t>ARVIND  SHAHU</t>
  </si>
  <si>
    <t>007159</t>
  </si>
  <si>
    <t>007160</t>
  </si>
  <si>
    <t>007172</t>
  </si>
  <si>
    <t>007173</t>
  </si>
  <si>
    <t>007174</t>
  </si>
  <si>
    <t>007181</t>
  </si>
  <si>
    <t>007185</t>
  </si>
  <si>
    <t>007188</t>
  </si>
  <si>
    <t>007189</t>
  </si>
  <si>
    <t>007209</t>
  </si>
  <si>
    <t>007210</t>
  </si>
  <si>
    <t>007212</t>
  </si>
  <si>
    <t>007213</t>
  </si>
  <si>
    <t>007215</t>
  </si>
  <si>
    <t>007220</t>
  </si>
  <si>
    <t>007222</t>
  </si>
  <si>
    <t>007232</t>
  </si>
  <si>
    <t>007360</t>
  </si>
  <si>
    <t>007361</t>
  </si>
  <si>
    <t>007362</t>
  </si>
  <si>
    <t>007363</t>
  </si>
  <si>
    <t>PRAMOD MAMGAIN</t>
  </si>
  <si>
    <t>MUKESH  KUMAR MISHRA</t>
  </si>
  <si>
    <t>VIPIN  KUMAR ROY</t>
  </si>
  <si>
    <t>DEVESH BALARAM PAWAR</t>
  </si>
  <si>
    <t>RISHIKESH SINHA</t>
  </si>
  <si>
    <t>RAVINDER MANDAL</t>
  </si>
  <si>
    <t>PANKAJ KUMAR SINGH</t>
  </si>
  <si>
    <t>MOHIT SINGH</t>
  </si>
  <si>
    <t>VIPEENDAR KUMAR</t>
  </si>
  <si>
    <t>JAGAN SHARMA</t>
  </si>
  <si>
    <t>SANJEEV KUMAR PANDEY</t>
  </si>
  <si>
    <t xml:space="preserve">PRAVIN RAVIDAS </t>
  </si>
  <si>
    <t>KAUSHAL KUMAR JHA</t>
  </si>
  <si>
    <t>MANISH KUMAR JHA</t>
  </si>
  <si>
    <t>RAJA RAM</t>
  </si>
  <si>
    <t>SATISH CHAND</t>
  </si>
  <si>
    <t>DEEPAK KUMAR</t>
  </si>
  <si>
    <t>RAJ KUMAR ROY</t>
  </si>
  <si>
    <t>PAN SINGH</t>
  </si>
  <si>
    <t>YADVENDRA DIVEDI</t>
  </si>
  <si>
    <t>AKASH KUMAR SINGH</t>
  </si>
  <si>
    <t>006935</t>
  </si>
  <si>
    <t xml:space="preserve">MUKESH KUMAR RAM </t>
  </si>
  <si>
    <t>SHIVANADA GADAGIN</t>
  </si>
  <si>
    <t>SRIKANTH GK</t>
  </si>
  <si>
    <t>MADHU R</t>
  </si>
  <si>
    <t>KALLESH</t>
  </si>
  <si>
    <t>007331</t>
  </si>
  <si>
    <t>007334</t>
  </si>
  <si>
    <t>007336</t>
  </si>
  <si>
    <t>007341</t>
  </si>
  <si>
    <t>007353</t>
  </si>
  <si>
    <t>007370</t>
  </si>
  <si>
    <t>007371</t>
  </si>
  <si>
    <t>RTO</t>
  </si>
  <si>
    <t xml:space="preserve">MANOJ KUMAR </t>
  </si>
  <si>
    <t>PICKING</t>
  </si>
  <si>
    <t>BIKER</t>
  </si>
  <si>
    <t>PACKER</t>
  </si>
  <si>
    <t>AUDIT</t>
  </si>
  <si>
    <t>CHECKER</t>
  </si>
  <si>
    <t>DISPATCH</t>
  </si>
  <si>
    <t>IN-WARD</t>
  </si>
  <si>
    <t>OFFICE BOY</t>
  </si>
  <si>
    <t>BOX MAKING</t>
  </si>
  <si>
    <t>PARESH SURYAKANT ITADKAR</t>
  </si>
  <si>
    <t>GORAKH GOPAL BHOIR</t>
  </si>
  <si>
    <t>007437</t>
  </si>
  <si>
    <t>SONU SATYAM ROY</t>
  </si>
  <si>
    <t>JUBER AHAMAD</t>
  </si>
  <si>
    <t>SUNIL KHURADE</t>
  </si>
  <si>
    <t>SUNIL SURYAVANSHI</t>
  </si>
  <si>
    <t>AMOL MHATRE</t>
  </si>
  <si>
    <t>RAM SUTAR</t>
  </si>
  <si>
    <t>TEJBHAN RAMSURAT YADAV</t>
  </si>
  <si>
    <t>007433</t>
  </si>
  <si>
    <t>AMIT SINGH</t>
  </si>
  <si>
    <t>VIVEK</t>
  </si>
  <si>
    <t>SHUBHAM MAURYA</t>
  </si>
  <si>
    <t>RISHIKESH KUMAR MISHRA</t>
  </si>
  <si>
    <t>MANISH TYAGI</t>
  </si>
  <si>
    <t>AMAN KUMAR SINGH</t>
  </si>
  <si>
    <t>NITESH SEN</t>
  </si>
  <si>
    <t>KAMAL DEEP SONI</t>
  </si>
  <si>
    <t>SANDEEP KUMAR</t>
  </si>
  <si>
    <t>SUBHAM KUMAR</t>
  </si>
  <si>
    <t>BRIJESH KUMAR SINGH</t>
  </si>
  <si>
    <t>ZIYA SHAIKH</t>
  </si>
  <si>
    <t>GURUPRASAD MS</t>
  </si>
  <si>
    <t>007441</t>
  </si>
  <si>
    <t>007442</t>
  </si>
  <si>
    <t>007445</t>
  </si>
  <si>
    <t>007446</t>
  </si>
  <si>
    <t>007451</t>
  </si>
  <si>
    <t>007453</t>
  </si>
  <si>
    <t>007462</t>
  </si>
  <si>
    <t>007468</t>
  </si>
  <si>
    <t>007469</t>
  </si>
  <si>
    <t>007472</t>
  </si>
  <si>
    <t>007473</t>
  </si>
  <si>
    <t>007480</t>
  </si>
  <si>
    <t>007484</t>
  </si>
  <si>
    <t>007487</t>
  </si>
  <si>
    <t>007490</t>
  </si>
  <si>
    <t>007492</t>
  </si>
  <si>
    <t>007494</t>
  </si>
  <si>
    <t>007500</t>
  </si>
  <si>
    <t>007506</t>
  </si>
  <si>
    <t>007508</t>
  </si>
  <si>
    <t>007509</t>
  </si>
  <si>
    <t>Payble</t>
  </si>
  <si>
    <t>007671</t>
  </si>
  <si>
    <t>007677</t>
  </si>
  <si>
    <t>007679</t>
  </si>
  <si>
    <t>007695</t>
  </si>
  <si>
    <t>007697</t>
  </si>
  <si>
    <t>007702</t>
  </si>
  <si>
    <t>007703</t>
  </si>
  <si>
    <t>007704</t>
  </si>
  <si>
    <t>007706</t>
  </si>
  <si>
    <t>007708</t>
  </si>
  <si>
    <t>007710</t>
  </si>
  <si>
    <t>007713</t>
  </si>
  <si>
    <t>007716</t>
  </si>
  <si>
    <t>007719</t>
  </si>
  <si>
    <t>007720</t>
  </si>
  <si>
    <t>007724</t>
  </si>
  <si>
    <t>007740</t>
  </si>
  <si>
    <t>007741</t>
  </si>
  <si>
    <t>007743</t>
  </si>
  <si>
    <t>007744</t>
  </si>
  <si>
    <t>CHANDRAKANT BHOIR</t>
  </si>
  <si>
    <t>AMOL CHIKANE</t>
  </si>
  <si>
    <t>MAHESH BARVE</t>
  </si>
  <si>
    <t>MAHENDRA SAINI</t>
  </si>
  <si>
    <t>GOVIND MADHAV DEVHARE</t>
  </si>
  <si>
    <t>ABDUL GOBUR</t>
  </si>
  <si>
    <t>NEW</t>
  </si>
  <si>
    <t>SUNIL KHANDEKAR</t>
  </si>
  <si>
    <t>RANGASWAMY G.</t>
  </si>
  <si>
    <t>SURESH B</t>
  </si>
  <si>
    <t>NAVEEN KUMAR   A</t>
  </si>
  <si>
    <t>NILKANTA GOWDA</t>
  </si>
  <si>
    <t xml:space="preserve">SUHAS </t>
  </si>
  <si>
    <t>22/4/2017</t>
  </si>
  <si>
    <t>27/4/2017</t>
  </si>
  <si>
    <t>SUDESH ROY</t>
  </si>
  <si>
    <t>DEEPU KUMAR</t>
  </si>
  <si>
    <t>AADESH KUMAR</t>
  </si>
  <si>
    <t>PREM BAKHS SINGH</t>
  </si>
  <si>
    <t>PUNEET</t>
  </si>
  <si>
    <t>BALRAM YADAV</t>
  </si>
  <si>
    <t>RAHUL SINGH</t>
  </si>
  <si>
    <t>007217</t>
  </si>
  <si>
    <t>006417</t>
  </si>
  <si>
    <t>007072</t>
  </si>
  <si>
    <t>SANTOSH PANCHAL</t>
  </si>
  <si>
    <t>JAYPRAKASH GUPTA</t>
  </si>
  <si>
    <t>ATUL BHADAURIYA</t>
  </si>
  <si>
    <t>BIRENDRA  KRANTI</t>
  </si>
  <si>
    <t>SRUSHTI MORE</t>
  </si>
  <si>
    <t>NAVLIN CHARI</t>
  </si>
  <si>
    <t>MOH SHARIF ANSARI</t>
  </si>
  <si>
    <t>ROHAN SHETYE</t>
  </si>
  <si>
    <t>RUKHSANA SANWARALI SAYYED</t>
  </si>
  <si>
    <t>RAJESHWARI SEETARAM PURUSHA</t>
  </si>
  <si>
    <t>RAHUL KUMAR MISHRA</t>
  </si>
  <si>
    <t>YOGESH GV</t>
  </si>
  <si>
    <t>ASHOK GN</t>
  </si>
  <si>
    <t>P UDAY KUMAR</t>
  </si>
  <si>
    <t>AJAY KUMAR NM</t>
  </si>
  <si>
    <t>ROMIT KUMAR</t>
  </si>
  <si>
    <t>007191</t>
  </si>
  <si>
    <t>007214</t>
  </si>
  <si>
    <t>MOHIT KUMAR</t>
  </si>
  <si>
    <t>006814</t>
  </si>
  <si>
    <t>ASHISH DAS</t>
  </si>
  <si>
    <t>AMAN SOLANKI</t>
  </si>
  <si>
    <t>DHAVAL SINGH</t>
  </si>
  <si>
    <t>ASHISH SINGH</t>
  </si>
  <si>
    <t>SANDEEP MAITY</t>
  </si>
  <si>
    <t>PRADEEP KUMAR</t>
  </si>
  <si>
    <t>AMAN SINGH</t>
  </si>
  <si>
    <t>ASHU</t>
  </si>
  <si>
    <t>RAVINDER SINGH</t>
  </si>
  <si>
    <t>VINOD KUMAR YADAV</t>
  </si>
  <si>
    <t>BISHNU KUMAR JHA</t>
  </si>
  <si>
    <t>RAMPAL SINGH</t>
  </si>
  <si>
    <t>BHARAT SINGH</t>
  </si>
  <si>
    <t>RAKESH KUMAR</t>
  </si>
  <si>
    <t>SHIVAM RAJ</t>
  </si>
  <si>
    <t>SAHIL</t>
  </si>
  <si>
    <t>LALIT KUMAR</t>
  </si>
  <si>
    <t>PHOOL SINGH</t>
  </si>
  <si>
    <t>MANOJ KUMAR YADAV</t>
  </si>
  <si>
    <t>SANTOSH KUMAR</t>
  </si>
  <si>
    <t>SUJAN</t>
  </si>
  <si>
    <t>SUDEEP THAPA</t>
  </si>
  <si>
    <t>HARI KRISHAN</t>
  </si>
  <si>
    <t>GYANENDRA SINGH</t>
  </si>
  <si>
    <t>VASHDEV</t>
  </si>
  <si>
    <t>RAJAN TIWARI</t>
  </si>
  <si>
    <t>KALICHARAN</t>
  </si>
  <si>
    <t>NIHAL SINGH</t>
  </si>
  <si>
    <t>ANKIT PAL</t>
  </si>
  <si>
    <t>ANKIT MISHRA</t>
  </si>
  <si>
    <t>DEEPAK SINGH</t>
  </si>
  <si>
    <t>ASHUTOSH</t>
  </si>
  <si>
    <t>ANOOP MISHRA</t>
  </si>
  <si>
    <t>SRANGINATH</t>
  </si>
  <si>
    <t>RAHUL TYAGI</t>
  </si>
  <si>
    <t>PRABHAT KUMAR SINGH</t>
  </si>
  <si>
    <t>SURAJ TIWARI</t>
  </si>
  <si>
    <t>ANUJ KUMAR</t>
  </si>
  <si>
    <t>VIKASH KUMAR</t>
  </si>
  <si>
    <t>MAHAVEER</t>
  </si>
  <si>
    <t>BRIJESH KUMAR MAURYA</t>
  </si>
  <si>
    <t>SONU KUMAR</t>
  </si>
  <si>
    <t>HARIKARAN</t>
  </si>
  <si>
    <t>PREET</t>
  </si>
  <si>
    <t>RAVI PAL</t>
  </si>
  <si>
    <t>RAMAKANT</t>
  </si>
  <si>
    <t>SUNNY PAL</t>
  </si>
  <si>
    <t>SANTOSH KUMAR PATEL</t>
  </si>
  <si>
    <t>KRISHNA SINGH</t>
  </si>
  <si>
    <t>ANIL KUMAR</t>
  </si>
  <si>
    <t>SAGAR SHARMA</t>
  </si>
  <si>
    <t>VINAY KUMAR MISHRA</t>
  </si>
  <si>
    <t>HARI OM</t>
  </si>
  <si>
    <t>HARI OM PAL</t>
  </si>
  <si>
    <t>PANKAJ TYAGI</t>
  </si>
  <si>
    <t>SUNNY DEV</t>
  </si>
  <si>
    <t>007848</t>
  </si>
  <si>
    <t>007850</t>
  </si>
  <si>
    <t>007858</t>
  </si>
  <si>
    <t>007954</t>
  </si>
  <si>
    <t>007960</t>
  </si>
  <si>
    <t>007919</t>
  </si>
  <si>
    <t>007922</t>
  </si>
  <si>
    <t>007923</t>
  </si>
  <si>
    <t>007927</t>
  </si>
  <si>
    <t>007928</t>
  </si>
  <si>
    <t>007931</t>
  </si>
  <si>
    <t>007934</t>
  </si>
  <si>
    <t>007862</t>
  </si>
  <si>
    <t>007864</t>
  </si>
  <si>
    <t>007876</t>
  </si>
  <si>
    <t>007883</t>
  </si>
  <si>
    <t>007900</t>
  </si>
  <si>
    <t>RAJESH  KUMAR-II</t>
  </si>
  <si>
    <t>RISHI KUMAR</t>
  </si>
  <si>
    <t>Salary statement for the month of June-17</t>
  </si>
  <si>
    <t>RAJU KUMAR</t>
  </si>
  <si>
    <t xml:space="preserve">SONUKUMAR ASHARPHI PATEL </t>
  </si>
  <si>
    <t>VANITA KOTHORE</t>
  </si>
  <si>
    <t>SUCHITA MANE</t>
  </si>
  <si>
    <t>PRAMOD TABALE</t>
  </si>
  <si>
    <t>DEVAVRAT SHARMA</t>
  </si>
  <si>
    <t>RAJENDRA PATEL</t>
  </si>
  <si>
    <t>SANTOSH SHINDE</t>
  </si>
  <si>
    <t>MAHENDRA PATIL</t>
  </si>
  <si>
    <t>KALPESH ZATE</t>
  </si>
  <si>
    <t>MOMIN KASHIF</t>
  </si>
  <si>
    <t>ARFAT ANSARI</t>
  </si>
  <si>
    <t>ASHISH ATHAWALE</t>
  </si>
  <si>
    <t>UMESH BHOIR</t>
  </si>
  <si>
    <t xml:space="preserve">MILIND PATIL </t>
  </si>
  <si>
    <t>CHINNARAO NIMMANA</t>
  </si>
  <si>
    <t>RAJU MANDAL</t>
  </si>
  <si>
    <t>RUBEY GUPTA</t>
  </si>
  <si>
    <t>KHUSHBOO GUPTA</t>
  </si>
  <si>
    <t>TEJAS JANGAM</t>
  </si>
  <si>
    <t>HARSHAL GHARAT</t>
  </si>
  <si>
    <t>PRAVIN DHAWARE</t>
  </si>
  <si>
    <t>TAYYAB PINJARI</t>
  </si>
  <si>
    <t>KUNAL PATIL</t>
  </si>
  <si>
    <t>AKASH SALUNKHE</t>
  </si>
  <si>
    <t>MADAN UMBARSADI</t>
  </si>
  <si>
    <t>SANDESH KATELA</t>
  </si>
  <si>
    <t>YOURAJ PAGI</t>
  </si>
  <si>
    <t>JITENDRA PAGI</t>
  </si>
  <si>
    <t>NILESH BENDEGA</t>
  </si>
  <si>
    <t>ANIL DINDE</t>
  </si>
  <si>
    <t>AKSHAY PATIL</t>
  </si>
  <si>
    <t>MAHESH SONKAMBLE</t>
  </si>
  <si>
    <t>SAN SINGH</t>
  </si>
  <si>
    <t>RAJU RAJBHAR</t>
  </si>
  <si>
    <t>NIRAJ RAJBHAR</t>
  </si>
  <si>
    <t>DYNDEV SANAS</t>
  </si>
  <si>
    <t>008070</t>
  </si>
  <si>
    <t>008071</t>
  </si>
  <si>
    <t>008072</t>
  </si>
  <si>
    <t>008074</t>
  </si>
  <si>
    <t>ASHA MALVIYA</t>
  </si>
  <si>
    <t>ANKITA NARODE</t>
  </si>
  <si>
    <t>SHAILESH TRILOTKAR</t>
  </si>
  <si>
    <t>L NEJALINGAPPA</t>
  </si>
  <si>
    <t>NAGENDRA M</t>
  </si>
  <si>
    <t>RAKESH G</t>
  </si>
  <si>
    <t>RAGAVENDRA</t>
  </si>
  <si>
    <t>RACHAN ALI</t>
  </si>
  <si>
    <t>MAHESH R</t>
  </si>
  <si>
    <t>INDRA  RAJ</t>
  </si>
  <si>
    <t>ABHISHEK</t>
  </si>
  <si>
    <t>JITENDER KUMAR  (New)</t>
  </si>
  <si>
    <t>PRAKASH KUMAR SRIVASTAV</t>
  </si>
  <si>
    <t>PACKING</t>
  </si>
  <si>
    <t>MUKESH KUMAR 1st</t>
  </si>
  <si>
    <t>VIRENDAR SINGH RAWAT</t>
  </si>
  <si>
    <t>RAVI KUMAR -II</t>
  </si>
  <si>
    <t>MANOJ KUMAR -II</t>
  </si>
  <si>
    <t>PRATIK DAS</t>
  </si>
  <si>
    <t>RAVI KUMAR 1st</t>
  </si>
  <si>
    <t>CHANDAN PASWAN</t>
  </si>
  <si>
    <t>MANOJ KUMAR</t>
  </si>
  <si>
    <t>AMRESH KUMAR SINGH</t>
  </si>
  <si>
    <t>DHARMENDRA KUMAR YADAV</t>
  </si>
  <si>
    <t>SATYA PRAKASH</t>
  </si>
  <si>
    <t xml:space="preserve">BIRJU </t>
  </si>
  <si>
    <t>ANMOLAK GIRI</t>
  </si>
  <si>
    <t>VEERPAL SINGH</t>
  </si>
  <si>
    <t>KALPENDRA KUMAR</t>
  </si>
  <si>
    <t>SONU</t>
  </si>
  <si>
    <t>ASHU NISHAD</t>
  </si>
  <si>
    <t>AKASH KUMAR</t>
  </si>
  <si>
    <t>VISHRAM SAGAR</t>
  </si>
  <si>
    <t>ANOOP SINGH</t>
  </si>
  <si>
    <t>ANKIT KUMAR</t>
  </si>
  <si>
    <t>SHUBHAM KUMAR</t>
  </si>
  <si>
    <t>RAHUL ROY</t>
  </si>
  <si>
    <t>GIRIJESH KUMAR</t>
  </si>
  <si>
    <t>KRISHAN  KUMAR</t>
  </si>
  <si>
    <t>RAUSHAN KR SINGH</t>
  </si>
  <si>
    <t>RAMJEET</t>
  </si>
  <si>
    <t>MAHENDER PAL SINGH</t>
  </si>
  <si>
    <t>PAWAN PRAKASH</t>
  </si>
  <si>
    <t>DEVENDRA KUMAR</t>
  </si>
  <si>
    <t>SANJEEV KUMAR YADAV</t>
  </si>
  <si>
    <t>AKLESH</t>
  </si>
  <si>
    <t>SUJIT KUMAR SINGH</t>
  </si>
  <si>
    <t>ANIL KR</t>
  </si>
  <si>
    <t>GAURAV</t>
  </si>
  <si>
    <t>RAM KAILASH</t>
  </si>
  <si>
    <t>RAJIV KUMAR</t>
  </si>
  <si>
    <t>ARBAZ</t>
  </si>
  <si>
    <t>RAGHVENDRA SINGH</t>
  </si>
  <si>
    <t>RAM KISHAN</t>
  </si>
  <si>
    <t>BHOLA SHANKAR</t>
  </si>
  <si>
    <t>SANDEEP KUMAR MISHRA</t>
  </si>
  <si>
    <t>HASMUDDIN ALAM</t>
  </si>
  <si>
    <t>GOURANGO MANDAL</t>
  </si>
  <si>
    <t>SANJEEV KUMAR MISHRA</t>
  </si>
  <si>
    <t>VIVEK KUMAR</t>
  </si>
  <si>
    <t>MOHAN RANA</t>
  </si>
  <si>
    <t>ABHISHEK SINGH</t>
  </si>
  <si>
    <t>SHEKHAR RAJ</t>
  </si>
  <si>
    <t>RAJU</t>
  </si>
  <si>
    <t>RAJAN SHARMA</t>
  </si>
  <si>
    <t>SATENDER SINGH</t>
  </si>
  <si>
    <t>PANKAJ KUMAR</t>
  </si>
  <si>
    <t>DURGESH SINGH</t>
  </si>
  <si>
    <t>MD AZIZ AHAMAD</t>
  </si>
  <si>
    <t>YOGESH</t>
  </si>
  <si>
    <t>SONELAL KUMAR</t>
  </si>
  <si>
    <t>AKASH</t>
  </si>
  <si>
    <t>RAMVEER SINGH</t>
  </si>
  <si>
    <t>KAILASH CHAND</t>
  </si>
  <si>
    <t>BHAGWATI PRASAD</t>
  </si>
  <si>
    <t>RUDRA PRATAP SINGH</t>
  </si>
  <si>
    <t>PANKAJ KR SINGH</t>
  </si>
  <si>
    <t>AMAL KHAN</t>
  </si>
  <si>
    <t>KRISHNA KR SINGH</t>
  </si>
  <si>
    <t>NITIN KUMAR</t>
  </si>
  <si>
    <t>NITESH</t>
  </si>
  <si>
    <t>MATHURA PRASAD</t>
  </si>
  <si>
    <t>BUDH VILAS</t>
  </si>
  <si>
    <t>RAKESH PATHAK</t>
  </si>
  <si>
    <t>ARJUN KUMAR</t>
  </si>
  <si>
    <t>BRIJ KISHOR SINGH</t>
  </si>
  <si>
    <t>OMPRAKASH</t>
  </si>
  <si>
    <t>DINESH YADDAV</t>
  </si>
  <si>
    <t>PRAMOD KUMAR</t>
  </si>
  <si>
    <t xml:space="preserve">AJEET </t>
  </si>
  <si>
    <t>PUTTI LAL</t>
  </si>
  <si>
    <t>KAUSHAL KISHOR</t>
  </si>
  <si>
    <t>SUBHASH SAXENA</t>
  </si>
  <si>
    <t>SAURABH</t>
  </si>
  <si>
    <t>SATISH KUMAR</t>
  </si>
  <si>
    <t>SHAMBHU KUMAR</t>
  </si>
  <si>
    <t>RAJ KUMAR MAURYA</t>
  </si>
  <si>
    <t>RAM PRAKASH</t>
  </si>
  <si>
    <t>CHANDRA BHUSHAN THAKUR</t>
  </si>
  <si>
    <t>ANKIT MALYAI</t>
  </si>
  <si>
    <t>PARVEEN BHARDWAJ</t>
  </si>
  <si>
    <t>PRAVEEN</t>
  </si>
  <si>
    <t>UPENDER SINGH</t>
  </si>
  <si>
    <t>HARISH RAWAT</t>
  </si>
  <si>
    <t xml:space="preserve">VIKASH SHARMA </t>
  </si>
  <si>
    <t>BRIJESH TIWARI</t>
  </si>
  <si>
    <t>WARIS ALI</t>
  </si>
  <si>
    <t>HAMID KHAN</t>
  </si>
  <si>
    <t>VIKASH SINGH</t>
  </si>
  <si>
    <t>KAUSHAL</t>
  </si>
  <si>
    <t>INWARD</t>
  </si>
  <si>
    <t>007920</t>
  </si>
  <si>
    <t>007467</t>
  </si>
  <si>
    <t>007078</t>
  </si>
  <si>
    <t>007093</t>
  </si>
  <si>
    <t>007463</t>
  </si>
  <si>
    <t>008132</t>
  </si>
  <si>
    <t>008160</t>
  </si>
  <si>
    <t>008075</t>
  </si>
  <si>
    <t>008076</t>
  </si>
  <si>
    <t>008077</t>
  </si>
  <si>
    <t>008078</t>
  </si>
  <si>
    <t>008080</t>
  </si>
  <si>
    <t>008081</t>
  </si>
  <si>
    <t>008084</t>
  </si>
  <si>
    <t>008090</t>
  </si>
  <si>
    <t>008093</t>
  </si>
  <si>
    <t>008094</t>
  </si>
  <si>
    <t>008099</t>
  </si>
  <si>
    <t>008100</t>
  </si>
  <si>
    <t>008102</t>
  </si>
  <si>
    <t>008103</t>
  </si>
  <si>
    <t>008104</t>
  </si>
  <si>
    <t>006810</t>
  </si>
  <si>
    <t>008114</t>
  </si>
  <si>
    <t>008116</t>
  </si>
  <si>
    <t>008125</t>
  </si>
  <si>
    <t>008127</t>
  </si>
  <si>
    <t>008128</t>
  </si>
  <si>
    <t>008129</t>
  </si>
  <si>
    <t>008131</t>
  </si>
  <si>
    <t>008133</t>
  </si>
  <si>
    <t>008135</t>
  </si>
  <si>
    <t>008136</t>
  </si>
  <si>
    <t>008141</t>
  </si>
  <si>
    <t>008142</t>
  </si>
  <si>
    <t>008143</t>
  </si>
  <si>
    <t>008144</t>
  </si>
  <si>
    <t>008146</t>
  </si>
  <si>
    <t>005743</t>
  </si>
  <si>
    <t>008149</t>
  </si>
  <si>
    <t>008150</t>
  </si>
  <si>
    <t>008151</t>
  </si>
  <si>
    <t>008153</t>
  </si>
  <si>
    <t>008154</t>
  </si>
  <si>
    <t>008158</t>
  </si>
  <si>
    <t>008159</t>
  </si>
  <si>
    <t>008161</t>
  </si>
  <si>
    <t>008163</t>
  </si>
  <si>
    <t>008164</t>
  </si>
  <si>
    <t>008165</t>
  </si>
  <si>
    <t>008167</t>
  </si>
  <si>
    <t>008172</t>
  </si>
  <si>
    <t>008173</t>
  </si>
  <si>
    <t>008174</t>
  </si>
  <si>
    <t>008175</t>
  </si>
  <si>
    <t>008176</t>
  </si>
  <si>
    <t>008178</t>
  </si>
  <si>
    <t>008179</t>
  </si>
  <si>
    <t>008180</t>
  </si>
  <si>
    <t>008181</t>
  </si>
  <si>
    <t>008185</t>
  </si>
  <si>
    <t>008186</t>
  </si>
  <si>
    <t>008188</t>
  </si>
  <si>
    <t>008189</t>
  </si>
  <si>
    <t>008190</t>
  </si>
  <si>
    <t>008191</t>
  </si>
  <si>
    <t>008192</t>
  </si>
  <si>
    <t>008193</t>
  </si>
  <si>
    <t>008194</t>
  </si>
  <si>
    <t>008202</t>
  </si>
  <si>
    <t>008209</t>
  </si>
  <si>
    <t>008210</t>
  </si>
  <si>
    <t>008211</t>
  </si>
  <si>
    <t>008214</t>
  </si>
  <si>
    <t>DARSHAN WAFELKAR</t>
  </si>
  <si>
    <t>HK</t>
  </si>
  <si>
    <t>PICKER</t>
  </si>
  <si>
    <t>STN</t>
  </si>
  <si>
    <t>DISPATCHED</t>
  </si>
  <si>
    <t>OUTWARD</t>
  </si>
  <si>
    <t>HR</t>
  </si>
  <si>
    <t>DTO</t>
  </si>
  <si>
    <t>AAKASH-HOLD</t>
  </si>
  <si>
    <t>PANKAJ-HOLD</t>
  </si>
  <si>
    <t>NET</t>
  </si>
  <si>
    <t>007901</t>
  </si>
  <si>
    <t>KANTHA RAJU BG</t>
  </si>
  <si>
    <t>TOTAL</t>
  </si>
  <si>
    <t>MISHKAT SHAIKH</t>
  </si>
  <si>
    <t>ANIL KUMAR PATEL</t>
  </si>
  <si>
    <t>SULTAN AHMAD</t>
  </si>
  <si>
    <t>RAMPAL SAKET</t>
  </si>
  <si>
    <t>SANDEEP JADHAV</t>
  </si>
  <si>
    <t>BRIJGOPAL TRIPATHI</t>
  </si>
  <si>
    <t>VIVEK SINGH</t>
  </si>
  <si>
    <t>AKSHAY SUTAR</t>
  </si>
  <si>
    <t>BHARAT KUSHWAHA</t>
  </si>
  <si>
    <t>MOMIN IRSHAD</t>
  </si>
  <si>
    <t>GOPALSINGH RATHOD</t>
  </si>
  <si>
    <t>KALPESH PATIL</t>
  </si>
  <si>
    <t>SHAW SANTOSH</t>
  </si>
  <si>
    <t>RAMU BHOIR</t>
  </si>
  <si>
    <t>SRINIVAS T.G</t>
  </si>
  <si>
    <t>PRAVEEN R.V</t>
  </si>
  <si>
    <t>VIKRAM R</t>
  </si>
  <si>
    <t xml:space="preserve">CHANDRASHEKAR </t>
  </si>
  <si>
    <t>RANJITH KUMAR R</t>
  </si>
  <si>
    <t>LAKSHITH KUMAR LS</t>
  </si>
  <si>
    <t>SANTHOSH  M</t>
  </si>
  <si>
    <t>NAGARAJ E</t>
  </si>
  <si>
    <t>PAVAN KUMAR M</t>
  </si>
  <si>
    <t>NAVEEN T</t>
  </si>
  <si>
    <t>SHABIN S</t>
  </si>
  <si>
    <t>GURUPRASANNA</t>
  </si>
  <si>
    <t xml:space="preserve">RAGAVENDRA </t>
  </si>
  <si>
    <t>NAGABUSHAN C</t>
  </si>
  <si>
    <t>RAVI H</t>
  </si>
  <si>
    <t>NAVEEN KUMAR HERIMATH</t>
  </si>
  <si>
    <t xml:space="preserve">VIKAS </t>
  </si>
  <si>
    <t>HOUSEKEEPING</t>
  </si>
  <si>
    <t>PRAVEEN KUMAR</t>
  </si>
  <si>
    <t>NITESH KUMAR</t>
  </si>
  <si>
    <t>SUBHAM KUMAR JHA</t>
  </si>
  <si>
    <t>HARI KARAN SINGH</t>
  </si>
  <si>
    <t>RAM PRAKASH SINGH</t>
  </si>
  <si>
    <t>FSN PACKING</t>
  </si>
  <si>
    <t>QC HELPER</t>
  </si>
  <si>
    <t>SCANING</t>
  </si>
  <si>
    <t>PANKAJ SHARMA</t>
  </si>
  <si>
    <t>ANOOP KUMAR SINGH</t>
  </si>
  <si>
    <t>ARBAZ KHAN</t>
  </si>
  <si>
    <t>BASANT</t>
  </si>
  <si>
    <t>SATENDRA KUMAR</t>
  </si>
  <si>
    <t>RANJEET JHA</t>
  </si>
  <si>
    <t>DAYANAND THAKUR</t>
  </si>
  <si>
    <t>KAILASH SAINI</t>
  </si>
  <si>
    <t>MANOJ YADAV</t>
  </si>
  <si>
    <t>AMAN KUMAR JHA</t>
  </si>
  <si>
    <t>MONU KHAN</t>
  </si>
  <si>
    <t>RAM GOPAL SINGH</t>
  </si>
  <si>
    <t>MANOJ SINGH</t>
  </si>
  <si>
    <t>VISHNU</t>
  </si>
  <si>
    <t>VAIBHAV SINGH</t>
  </si>
  <si>
    <t>ABHISHEK SRIVASTAV</t>
  </si>
  <si>
    <t>JAMIL</t>
  </si>
  <si>
    <t>PRASHANT DHARIYA</t>
  </si>
  <si>
    <t>SHIV SAGAR</t>
  </si>
  <si>
    <t>TAJENDRA KUMAR</t>
  </si>
  <si>
    <t>DEEPU</t>
  </si>
  <si>
    <t>SUBHASH KUMAR</t>
  </si>
  <si>
    <t>NARESH KUMAR</t>
  </si>
  <si>
    <t>MD AFTAB ALAM</t>
  </si>
  <si>
    <t>AJAY KISHAN</t>
  </si>
  <si>
    <t>GOVIND KUMAR MISHRA</t>
  </si>
  <si>
    <t>RAHUL KUMAR PRASAD</t>
  </si>
  <si>
    <t>RAJENDRA SINGH</t>
  </si>
  <si>
    <t>RAJESH KUMAR</t>
  </si>
  <si>
    <t>RAM NARAYAN</t>
  </si>
  <si>
    <t>VIRENDRA KUMAR</t>
  </si>
  <si>
    <t>ABHAY KUMAR</t>
  </si>
  <si>
    <t>NITESH KUMAR PATHAK</t>
  </si>
  <si>
    <t>SANATAN BHATACHARJEE</t>
  </si>
  <si>
    <t>RANJEET KUMAR</t>
  </si>
  <si>
    <t>HARSH SONI</t>
  </si>
  <si>
    <t>JITENDRA</t>
  </si>
  <si>
    <t>ATUL SINGH</t>
  </si>
  <si>
    <t>RUPESH KUMAR MISHRA</t>
  </si>
  <si>
    <t>SANJEEV JHA</t>
  </si>
  <si>
    <t>VIKASH KUMAR SINGH</t>
  </si>
  <si>
    <t>SHAKIL</t>
  </si>
  <si>
    <t>DHARMENDRA KUMAR</t>
  </si>
  <si>
    <t>ATUL KUMAR TIWARI</t>
  </si>
  <si>
    <t>MOHIT DHASMANA</t>
  </si>
  <si>
    <t>VIKAS BAJPAI</t>
  </si>
  <si>
    <t>RANJAN KUMAR</t>
  </si>
  <si>
    <t>SURAJ SINGH</t>
  </si>
  <si>
    <t>ANKUR SINGH</t>
  </si>
  <si>
    <t>BHANU PRATAP</t>
  </si>
  <si>
    <t>RAHUL KUMAR</t>
  </si>
  <si>
    <t>JAGDISH RAWAT</t>
  </si>
  <si>
    <t>AJAY</t>
  </si>
  <si>
    <t>008278</t>
  </si>
  <si>
    <t>008279</t>
  </si>
  <si>
    <t>008280</t>
  </si>
  <si>
    <t>008281</t>
  </si>
  <si>
    <t>008284</t>
  </si>
  <si>
    <t>008285</t>
  </si>
  <si>
    <t>008286</t>
  </si>
  <si>
    <t>008287</t>
  </si>
  <si>
    <t>008288</t>
  </si>
  <si>
    <t>008289</t>
  </si>
  <si>
    <t>008290</t>
  </si>
  <si>
    <t>008291</t>
  </si>
  <si>
    <t>008292</t>
  </si>
  <si>
    <t>008295</t>
  </si>
  <si>
    <t>008299</t>
  </si>
  <si>
    <t>008300</t>
  </si>
  <si>
    <t>008302</t>
  </si>
  <si>
    <t>008303</t>
  </si>
  <si>
    <t>008305</t>
  </si>
  <si>
    <t>008307</t>
  </si>
  <si>
    <t>008306</t>
  </si>
  <si>
    <t>008308</t>
  </si>
  <si>
    <t>008310</t>
  </si>
  <si>
    <t>008311</t>
  </si>
  <si>
    <t>008312</t>
  </si>
  <si>
    <t>008313</t>
  </si>
  <si>
    <t>008314</t>
  </si>
  <si>
    <t>008315</t>
  </si>
  <si>
    <t>008316</t>
  </si>
  <si>
    <t>008318</t>
  </si>
  <si>
    <t>008319</t>
  </si>
  <si>
    <t>008320</t>
  </si>
  <si>
    <t>008322</t>
  </si>
  <si>
    <t>008323</t>
  </si>
  <si>
    <t>008325</t>
  </si>
  <si>
    <t>008326</t>
  </si>
  <si>
    <t>008327</t>
  </si>
  <si>
    <t>008425</t>
  </si>
  <si>
    <t>008330</t>
  </si>
  <si>
    <t>008365</t>
  </si>
  <si>
    <t>008369</t>
  </si>
  <si>
    <t>008370</t>
  </si>
  <si>
    <t>008334</t>
  </si>
  <si>
    <t>008378</t>
  </si>
  <si>
    <t>008386</t>
  </si>
  <si>
    <t>008389</t>
  </si>
  <si>
    <t>008391</t>
  </si>
  <si>
    <t>008403</t>
  </si>
  <si>
    <t>008404</t>
  </si>
  <si>
    <t>008405</t>
  </si>
  <si>
    <t>008407</t>
  </si>
  <si>
    <t>008408</t>
  </si>
  <si>
    <t>008412</t>
  </si>
  <si>
    <t>008413</t>
  </si>
  <si>
    <t>008422</t>
  </si>
  <si>
    <t>008333</t>
  </si>
  <si>
    <t>008335</t>
  </si>
  <si>
    <t>008337</t>
  </si>
  <si>
    <t>008340</t>
  </si>
  <si>
    <t>008341</t>
  </si>
  <si>
    <t>008342</t>
  </si>
  <si>
    <t>008368</t>
  </si>
  <si>
    <t>008345</t>
  </si>
  <si>
    <t>008346</t>
  </si>
  <si>
    <t>008348</t>
  </si>
  <si>
    <t>008349</t>
  </si>
  <si>
    <t>008351</t>
  </si>
  <si>
    <t>008426</t>
  </si>
  <si>
    <t>008424</t>
  </si>
  <si>
    <t>008359</t>
  </si>
  <si>
    <t>008436</t>
  </si>
  <si>
    <t>008438</t>
  </si>
  <si>
    <t>008442</t>
  </si>
  <si>
    <t>008453</t>
  </si>
  <si>
    <t>008456</t>
  </si>
  <si>
    <t>008459</t>
  </si>
  <si>
    <t>008460</t>
  </si>
  <si>
    <t>008656</t>
  </si>
  <si>
    <t>008657</t>
  </si>
  <si>
    <t>008651</t>
  </si>
  <si>
    <t>008649</t>
  </si>
  <si>
    <t>008658</t>
  </si>
  <si>
    <t>008655</t>
  </si>
  <si>
    <t>008659</t>
  </si>
  <si>
    <t>008661</t>
  </si>
  <si>
    <t>008647</t>
  </si>
  <si>
    <t>008662</t>
  </si>
  <si>
    <t>008652</t>
  </si>
  <si>
    <t>008648</t>
  </si>
  <si>
    <t>008663</t>
  </si>
  <si>
    <t>008653</t>
  </si>
  <si>
    <t>008650</t>
  </si>
  <si>
    <t>008674</t>
  </si>
  <si>
    <t>008675</t>
  </si>
  <si>
    <t>006807</t>
  </si>
  <si>
    <t>008676</t>
  </si>
  <si>
    <t>008677</t>
  </si>
  <si>
    <t>008679</t>
  </si>
  <si>
    <t>008680</t>
  </si>
  <si>
    <t>007460</t>
  </si>
  <si>
    <t>007345</t>
  </si>
  <si>
    <t>008682</t>
  </si>
  <si>
    <t>008683</t>
  </si>
  <si>
    <t>008686</t>
  </si>
  <si>
    <t>008687</t>
  </si>
  <si>
    <t>008688</t>
  </si>
  <si>
    <t>008689</t>
  </si>
  <si>
    <t>008690</t>
  </si>
  <si>
    <t>008691</t>
  </si>
  <si>
    <t>008692</t>
  </si>
  <si>
    <t>008694</t>
  </si>
  <si>
    <t>008695</t>
  </si>
  <si>
    <t>008696</t>
  </si>
  <si>
    <t>008698</t>
  </si>
  <si>
    <t>008699</t>
  </si>
  <si>
    <t>008701</t>
  </si>
  <si>
    <t>008702</t>
  </si>
  <si>
    <t>008703</t>
  </si>
  <si>
    <t>008707</t>
  </si>
  <si>
    <t>008708</t>
  </si>
  <si>
    <t>008709</t>
  </si>
  <si>
    <t>008710</t>
  </si>
  <si>
    <t>008711</t>
  </si>
  <si>
    <t>007335</t>
  </si>
  <si>
    <t>008715</t>
  </si>
  <si>
    <t>008716</t>
  </si>
  <si>
    <t>008717</t>
  </si>
  <si>
    <t>008720</t>
  </si>
  <si>
    <t>008722</t>
  </si>
  <si>
    <t>008723</t>
  </si>
  <si>
    <t>008724</t>
  </si>
  <si>
    <t>008725</t>
  </si>
  <si>
    <t>008726</t>
  </si>
  <si>
    <t>008728</t>
  </si>
  <si>
    <t>008664</t>
  </si>
  <si>
    <t>008665</t>
  </si>
  <si>
    <t>008666</t>
  </si>
  <si>
    <t>008667</t>
  </si>
  <si>
    <t>008668</t>
  </si>
  <si>
    <t>008669</t>
  </si>
  <si>
    <t>008670</t>
  </si>
  <si>
    <t>007177</t>
  </si>
  <si>
    <t>008671</t>
  </si>
  <si>
    <t>008673</t>
  </si>
  <si>
    <t>008428</t>
  </si>
  <si>
    <t>008429</t>
  </si>
  <si>
    <t>008430</t>
  </si>
  <si>
    <t>008625</t>
  </si>
  <si>
    <t>008626</t>
  </si>
  <si>
    <t>008628</t>
  </si>
  <si>
    <t>008629</t>
  </si>
  <si>
    <t>008631</t>
  </si>
  <si>
    <t>008632</t>
  </si>
  <si>
    <t>008633</t>
  </si>
  <si>
    <t>008636</t>
  </si>
  <si>
    <t>008637</t>
  </si>
  <si>
    <t>008641</t>
  </si>
  <si>
    <t>008642</t>
  </si>
  <si>
    <t>008643</t>
  </si>
  <si>
    <t>008644</t>
  </si>
  <si>
    <t>008645</t>
  </si>
  <si>
    <t>008646</t>
  </si>
  <si>
    <t>Salary statement for the month of Aug-17</t>
  </si>
  <si>
    <t>BHAGYADHAR DAS -July</t>
  </si>
  <si>
    <t>VIJAY KUMAR GOUTAM -July</t>
  </si>
  <si>
    <t>MONU KUMAR -July</t>
  </si>
  <si>
    <t>PRASANTH DT</t>
  </si>
  <si>
    <t>KIRAN B</t>
  </si>
  <si>
    <t>VENKATESH</t>
  </si>
  <si>
    <t>GURU KIRAN TH</t>
  </si>
  <si>
    <t>GOPAL CHETTRI</t>
  </si>
  <si>
    <t>BIVEK THMANG</t>
  </si>
  <si>
    <t>RAMESH M</t>
  </si>
  <si>
    <t>NAVEEN MM</t>
  </si>
  <si>
    <t>KIRAN KUMAR PN</t>
  </si>
  <si>
    <t>KARTHIK HN</t>
  </si>
  <si>
    <t>NAVEEN</t>
  </si>
  <si>
    <t>ROHITH</t>
  </si>
  <si>
    <t>RAKSHITH</t>
  </si>
  <si>
    <t>RISHIKESH SABLE</t>
  </si>
  <si>
    <t>PRATHMESH SUDHAKAR AMBERKAR</t>
  </si>
  <si>
    <t>NAVNEET DEVLEKAR</t>
  </si>
  <si>
    <t>MOHNISH MAHADEVAN</t>
  </si>
  <si>
    <t>BABLU</t>
  </si>
  <si>
    <t>AKASH PRATAP SINGH</t>
  </si>
  <si>
    <t>VINIT KUMAR SINGH</t>
  </si>
  <si>
    <t>AMIT KUMAR</t>
  </si>
  <si>
    <t>ANAND KUMAR</t>
  </si>
  <si>
    <t>CHAMAN PRAKASH</t>
  </si>
  <si>
    <t>VIJAY KUMAR SINGH</t>
  </si>
  <si>
    <t>SANDEEP CHAUHAN</t>
  </si>
  <si>
    <t>SHYAM SUNDAR</t>
  </si>
  <si>
    <t>SADAB ANSARI</t>
  </si>
  <si>
    <t>ARUN KUMAR</t>
  </si>
  <si>
    <t>VIKAS GUPTA</t>
  </si>
  <si>
    <t>SHUBHAM SINGH</t>
  </si>
  <si>
    <t>ADITYA KUMAR</t>
  </si>
  <si>
    <t>AMARJEET SINGH</t>
  </si>
  <si>
    <t>SURENDER KUMAR YADAV</t>
  </si>
  <si>
    <t>PANKAJ SINGH</t>
  </si>
  <si>
    <t>SAGAR KUMAR SHARMA</t>
  </si>
  <si>
    <t>NETIK BHARDWAJ</t>
  </si>
  <si>
    <t>VIPIN SINGH</t>
  </si>
  <si>
    <t>AJAY KUMAR MISHRA</t>
  </si>
  <si>
    <t>VIKAS CHOUDHARY</t>
  </si>
  <si>
    <t>BIMLESH JHA</t>
  </si>
  <si>
    <t>SUNIL KUMAR</t>
  </si>
  <si>
    <t>SHAILENDRA PRAJAPATI</t>
  </si>
  <si>
    <t>ANKIT KAUSHIK</t>
  </si>
  <si>
    <t>CHANCHAL KUMAR</t>
  </si>
  <si>
    <t>KUNDAN KUMAR JHA</t>
  </si>
  <si>
    <t>KALYAN KUNWAR</t>
  </si>
  <si>
    <t>NANHE</t>
  </si>
  <si>
    <t>MANMOHAN</t>
  </si>
  <si>
    <t>VISHAL KUMAR</t>
  </si>
  <si>
    <t>RAJAN KUSHWAHA</t>
  </si>
  <si>
    <t>JONI KUMAR</t>
  </si>
  <si>
    <t>JAYANTA PARIDA</t>
  </si>
  <si>
    <t>MAHESH SINGH</t>
  </si>
  <si>
    <t>DEVENDRA PRATAP SINGH</t>
  </si>
  <si>
    <t>KUNDAN KUMAR</t>
  </si>
  <si>
    <t>SANTRAM</t>
  </si>
  <si>
    <t>ADARSH SINGH</t>
  </si>
  <si>
    <t>ANKIT SINGH</t>
  </si>
  <si>
    <t>TEJ PRAKASH SINGH</t>
  </si>
  <si>
    <t>RAJESH KUMAR AHIRWAR</t>
  </si>
  <si>
    <t>RAVI KUMAR</t>
  </si>
  <si>
    <t>SUNDRA MHATRE</t>
  </si>
  <si>
    <t>HARESH PATIL</t>
  </si>
  <si>
    <t>AJAY PATIL</t>
  </si>
  <si>
    <t>UMESH PATIL</t>
  </si>
  <si>
    <t>TUSHAR URADE</t>
  </si>
  <si>
    <t>MANGESH NIVALE</t>
  </si>
  <si>
    <t>SACHIN SHARMA</t>
  </si>
  <si>
    <t>VICKY BHOIR</t>
  </si>
  <si>
    <t>RUGVED KALURAM NAIK</t>
  </si>
  <si>
    <t>RAVINDRA MUNNI</t>
  </si>
  <si>
    <t>GAJENDRA KACHWAHE</t>
  </si>
  <si>
    <t>AKASH BALIRAM GORE</t>
  </si>
  <si>
    <t>VAIBHAV SURESH VANDRE</t>
  </si>
  <si>
    <t>SUSHANT TUKARAM WANI</t>
  </si>
  <si>
    <t>CHETAN SHIGWAN</t>
  </si>
  <si>
    <t>ANANTA GURUNATH MHATRE</t>
  </si>
  <si>
    <t>KIRAN DILIP SABANE</t>
  </si>
  <si>
    <t>TUSHAR ATMARAM BENDRE</t>
  </si>
  <si>
    <t>MAHESH PUNDALIK MHASKAR</t>
  </si>
  <si>
    <t>GOKUL TUKARAM DHOGDE</t>
  </si>
  <si>
    <t>DEEPAK KUMAR DWIVEDI</t>
  </si>
  <si>
    <t>YOGESH MADHAV JADHAV</t>
  </si>
  <si>
    <t>BHARAT RAMNARESH PRASAD</t>
  </si>
  <si>
    <t>RANJEET JAGDEESH JAISWAL</t>
  </si>
  <si>
    <t>SUMIT SINGH</t>
  </si>
  <si>
    <t>PRAKASH HARISHCHANDRA TIWARI</t>
  </si>
  <si>
    <t>KESHRAM SANTRAM CHOUDHARY</t>
  </si>
  <si>
    <t>VASUDEV KRISHNA SAHU</t>
  </si>
  <si>
    <t>ASHWIN SANTOSH JAISWAL</t>
  </si>
  <si>
    <t>YOGESH ARUN KALE</t>
  </si>
  <si>
    <t>NIKHIL PANDURANG KODLINGE</t>
  </si>
  <si>
    <t>AVINASH R BHANGRE</t>
  </si>
  <si>
    <t>HORILAL KISHORILAL BHARATI</t>
  </si>
  <si>
    <t>KAMLESH MITHAILAL GAUTAM</t>
  </si>
  <si>
    <t>VISHAL INDRAMANI</t>
  </si>
  <si>
    <t>25/8/2017</t>
  </si>
  <si>
    <t>29/8/2017</t>
  </si>
  <si>
    <t>CCA Arres/Incentive</t>
  </si>
  <si>
    <t>RAHUL JAISWAL</t>
  </si>
  <si>
    <t>CHANDAN KUMAR SAROJ</t>
  </si>
  <si>
    <t>Increment in Sep-17 salary</t>
  </si>
  <si>
    <t>NIRANJAN BG</t>
  </si>
  <si>
    <t>KIRAN KUMAR</t>
  </si>
  <si>
    <t>LOKESH P GOWDA</t>
  </si>
  <si>
    <t>RAMACHANDRAPPA</t>
  </si>
  <si>
    <t>HANUMANTHA</t>
  </si>
  <si>
    <t>LOKESH H</t>
  </si>
  <si>
    <t>SAGAR</t>
  </si>
  <si>
    <t>CHETHAN K</t>
  </si>
  <si>
    <t>OPS</t>
  </si>
  <si>
    <t>SACHIN SINGH</t>
  </si>
  <si>
    <t>ABHISHEK KUMAR DUBEY</t>
  </si>
  <si>
    <t>KISHORE KUMAR JHA</t>
  </si>
  <si>
    <t>AVINASH SINGH</t>
  </si>
  <si>
    <t>YOGENDRA PRATAP MISHRA</t>
  </si>
  <si>
    <t>KRISHAN KANT</t>
  </si>
  <si>
    <t xml:space="preserve">HIMANSHU </t>
  </si>
  <si>
    <t>RAMESH PRASAD</t>
  </si>
  <si>
    <t>RUPENDRA KUMAR AHIRWAR</t>
  </si>
  <si>
    <t xml:space="preserve">BIJENDER </t>
  </si>
  <si>
    <t>ANIT</t>
  </si>
  <si>
    <t>NEERAJ KUMAR</t>
  </si>
  <si>
    <t>SHIVAM</t>
  </si>
  <si>
    <t>ARUN MISHRA</t>
  </si>
  <si>
    <t>SHYAMLAL PANDEY</t>
  </si>
  <si>
    <t xml:space="preserve">SUMIT KUMAR </t>
  </si>
  <si>
    <t>SITA RAM</t>
  </si>
  <si>
    <t>BEEPENDRA KUMAR</t>
  </si>
  <si>
    <t>SHEELENDRA KUMAR</t>
  </si>
  <si>
    <t>SHASHI BHUSHAN PANDEY</t>
  </si>
  <si>
    <t>MANSINGH</t>
  </si>
  <si>
    <t>DAVID</t>
  </si>
  <si>
    <t>AKHILESH KUMAR</t>
  </si>
  <si>
    <t>LAL BABU KUMAR</t>
  </si>
  <si>
    <t>LALMANI</t>
  </si>
  <si>
    <t>MAHESH KUMAR SAOJ</t>
  </si>
  <si>
    <t>RAHUL</t>
  </si>
  <si>
    <t>GYAN PRAKASH KUMAR</t>
  </si>
  <si>
    <t xml:space="preserve">VISHAL </t>
  </si>
  <si>
    <t>SACHIN PAL</t>
  </si>
  <si>
    <t>VIKASH</t>
  </si>
  <si>
    <t>ANKUSH KUMAR</t>
  </si>
  <si>
    <t>SAURABH PAL</t>
  </si>
  <si>
    <t>ISHWAR CHANDRA</t>
  </si>
  <si>
    <t>JITENDRA KUMAR</t>
  </si>
  <si>
    <t>SANDEEP BADOLA</t>
  </si>
  <si>
    <t>RAJEEV BARMAN</t>
  </si>
  <si>
    <t>PRINCE PATEL</t>
  </si>
  <si>
    <t>VIJAY PRASAD</t>
  </si>
  <si>
    <t>GIRISH CHAND</t>
  </si>
  <si>
    <t>ASHOK KUMAR YADAV</t>
  </si>
  <si>
    <t>RAM KUMAR</t>
  </si>
  <si>
    <t>NURUL ISLAM</t>
  </si>
  <si>
    <t>NASIR UDDIN</t>
  </si>
  <si>
    <t>008798</t>
  </si>
  <si>
    <t>008794</t>
  </si>
  <si>
    <t>008812</t>
  </si>
  <si>
    <t>008799</t>
  </si>
  <si>
    <t>008820</t>
  </si>
  <si>
    <t>008801</t>
  </si>
  <si>
    <t>008822</t>
  </si>
  <si>
    <t>008827</t>
  </si>
  <si>
    <t>008826</t>
  </si>
  <si>
    <t>008837</t>
  </si>
  <si>
    <t>008838</t>
  </si>
  <si>
    <t>008841</t>
  </si>
  <si>
    <t>008842</t>
  </si>
  <si>
    <t>008865</t>
  </si>
  <si>
    <t>008868</t>
  </si>
  <si>
    <t>008871</t>
  </si>
  <si>
    <t>008872</t>
  </si>
  <si>
    <t>008874</t>
  </si>
  <si>
    <t>008875</t>
  </si>
  <si>
    <t>008878</t>
  </si>
  <si>
    <t>008880</t>
  </si>
  <si>
    <t>008850</t>
  </si>
  <si>
    <t>008851</t>
  </si>
  <si>
    <t>008852</t>
  </si>
  <si>
    <t>008853</t>
  </si>
  <si>
    <t>008854</t>
  </si>
  <si>
    <t>008858</t>
  </si>
  <si>
    <t>008859</t>
  </si>
  <si>
    <t>008860</t>
  </si>
  <si>
    <t>008861</t>
  </si>
  <si>
    <t>008833</t>
  </si>
  <si>
    <t>008834</t>
  </si>
  <si>
    <t>008881</t>
  </si>
  <si>
    <t>008835</t>
  </si>
  <si>
    <t>008836</t>
  </si>
  <si>
    <t>008882</t>
  </si>
  <si>
    <t>008830</t>
  </si>
  <si>
    <t>008831</t>
  </si>
  <si>
    <t>008828</t>
  </si>
  <si>
    <t>008829</t>
  </si>
  <si>
    <t>008844</t>
  </si>
  <si>
    <t>008883</t>
  </si>
  <si>
    <t>008884</t>
  </si>
  <si>
    <t>008885</t>
  </si>
  <si>
    <t>008886</t>
  </si>
  <si>
    <t>008781</t>
  </si>
  <si>
    <t>008782</t>
  </si>
  <si>
    <t>008783</t>
  </si>
  <si>
    <t>008784</t>
  </si>
  <si>
    <t>008790</t>
  </si>
  <si>
    <t>008792</t>
  </si>
  <si>
    <t>SUNITA SHETTY</t>
  </si>
  <si>
    <t>ANITA DUBEY</t>
  </si>
  <si>
    <t>RUPESH MANOHAR PATIL</t>
  </si>
  <si>
    <t>AVINASH SHANKAR SHIVGAN</t>
  </si>
  <si>
    <t>MAHESH VITTAL PATIL</t>
  </si>
  <si>
    <t xml:space="preserve">DIPAK KUMAR DEVIPRASAD  </t>
  </si>
  <si>
    <t>VAIBHAV PANDURANG THAKRE</t>
  </si>
  <si>
    <t>HAFFEZ ABDUL HAJI SHAIKH</t>
  </si>
  <si>
    <t>ARBAZ ASLAM KHAN</t>
  </si>
  <si>
    <t>VIJAY RAMCHANDRA PAWAR</t>
  </si>
  <si>
    <t>SRINU SATHAIAH DASARI</t>
  </si>
  <si>
    <t>SONUKUMAR BHAGELU GAUTAM</t>
  </si>
  <si>
    <t>VISHAL VIJAY BACHUTE</t>
  </si>
  <si>
    <t>DHIRAJ KISHORE TAWARE</t>
  </si>
  <si>
    <t>SARVJEET RAJENDRA YADAV</t>
  </si>
  <si>
    <t>MOMIN REHAN RIYAZ</t>
  </si>
  <si>
    <t>SAGAR SHRIVAS PADALA</t>
  </si>
  <si>
    <t>SANTOSH BABAN KALE</t>
  </si>
  <si>
    <t>GOLU BABAN KALE</t>
  </si>
  <si>
    <t>VIJAY CHANDRAKANT MANDRE</t>
  </si>
  <si>
    <t>DEEPAK DNYANU PATIL</t>
  </si>
  <si>
    <t>NILESH SANJAY PATIL</t>
  </si>
  <si>
    <t>MAHESH SHIVKUMAR TALARI</t>
  </si>
  <si>
    <t>MOHAN GOPAL VEKHANDE</t>
  </si>
  <si>
    <t>VIKAS CHANDRAKANT LOKHANDE</t>
  </si>
  <si>
    <t>RAMKAILASH BAIJNATH BHARATI</t>
  </si>
  <si>
    <t>ADMIN</t>
  </si>
  <si>
    <t>TEAM LEADER</t>
  </si>
  <si>
    <t>008845</t>
  </si>
  <si>
    <t>008846</t>
  </si>
  <si>
    <t>008847</t>
  </si>
  <si>
    <t>008849</t>
  </si>
  <si>
    <t>SHAILENDRA PRATAP SINGH -SEPT</t>
  </si>
  <si>
    <t>009011</t>
  </si>
  <si>
    <t>Bonus/Incentive</t>
  </si>
  <si>
    <t>Salary statement for the month of Oct-17</t>
  </si>
  <si>
    <t>ABHILASH K</t>
  </si>
  <si>
    <t>PANDURANGAPPA</t>
  </si>
  <si>
    <t>NAGAPPA</t>
  </si>
  <si>
    <t>PRAVEENA BN</t>
  </si>
  <si>
    <t>KRISHNA M GOUDA</t>
  </si>
  <si>
    <t>MANJUNATH LB</t>
  </si>
  <si>
    <t>ADAM BAIG T A</t>
  </si>
  <si>
    <t>AVINASH R</t>
  </si>
  <si>
    <t>MUNIRAJU</t>
  </si>
  <si>
    <t>RAGHU  S</t>
  </si>
  <si>
    <t>JAGADESH</t>
  </si>
  <si>
    <t>KUMMARA OKRI</t>
  </si>
  <si>
    <t>NARASHIMHA DR</t>
  </si>
  <si>
    <t>MAHESH M</t>
  </si>
  <si>
    <t>MANJUSHA PANDEY</t>
  </si>
  <si>
    <t>IRSHAD MOHD.HUSSAIN MOMIN</t>
  </si>
  <si>
    <t>IRSHAD MOHD.HUSSAIN MOMIN_SEPT</t>
  </si>
  <si>
    <t>ADITYA SUNIL VARVATKAR</t>
  </si>
  <si>
    <t>MERAJ JAMAL AHMAD</t>
  </si>
  <si>
    <t>SAJID SAMIULLAH AHMAD</t>
  </si>
  <si>
    <t>JAVED AHMAD</t>
  </si>
  <si>
    <t>SHASHIKANT ARJUN RAJAPURE</t>
  </si>
  <si>
    <t>MAHESH RAM SOMKAMBLE</t>
  </si>
  <si>
    <t>JAMIR HUSSEN</t>
  </si>
  <si>
    <t>MOHD JAVED MOHD NAIM ANSARI</t>
  </si>
  <si>
    <t>RUMAHISH ASGARALI ANSARI</t>
  </si>
  <si>
    <t>RAVINDRA FIKU BENBANSI</t>
  </si>
  <si>
    <t>ANUJ VISHWKARMA</t>
  </si>
  <si>
    <t>GANESH BHOSALE</t>
  </si>
  <si>
    <t xml:space="preserve">ABUSHMA MOHAMMAD ALI KHAN </t>
  </si>
  <si>
    <t>FAISAL WASIM ANSARI</t>
  </si>
  <si>
    <t>VIJAY BANDU AMRUTWAR</t>
  </si>
  <si>
    <t>GANESH RAMAKANT SHEWALE</t>
  </si>
  <si>
    <t>SIDDHARTH PRAKASH SAKPAL</t>
  </si>
  <si>
    <t>RAHUL ARUN MITAKE</t>
  </si>
  <si>
    <t>MANISH RAMKRISHNA PATIL</t>
  </si>
  <si>
    <t>VIKRANT MANGESH MAHALE</t>
  </si>
  <si>
    <t>PRASAD SHANTARAM BABARE</t>
  </si>
  <si>
    <t>JAYESH GOPINATH PATIL</t>
  </si>
  <si>
    <t>KUMAR NIVRUTI VANGAD</t>
  </si>
  <si>
    <t>NILESH CHAITU VATAS</t>
  </si>
  <si>
    <t>SANTOSH VISHNU DUMADA</t>
  </si>
  <si>
    <t>VRUSHABH RAVINDRA PAWAR</t>
  </si>
  <si>
    <t>VAIBHAV RAJESH JADHAV</t>
  </si>
  <si>
    <t>RAASHID AHMAD RASHEED AHMAD ANSARI</t>
  </si>
  <si>
    <t>SAINATH SANJAY GAIKWAD</t>
  </si>
  <si>
    <t>RAHUL KUMAR SHYAMLALA MODANWAL</t>
  </si>
  <si>
    <t>PAWAN MISHRA</t>
  </si>
  <si>
    <t>KAUKAB RAZA KHAN</t>
  </si>
  <si>
    <t>JAVED MANSOOR SHAIKH</t>
  </si>
  <si>
    <t>ANUJ SHYAMJI CHAURSIYA</t>
  </si>
  <si>
    <t>RAJU KONDIBA RAULVAR</t>
  </si>
  <si>
    <t>VINOD BHASKAR DUMADA</t>
  </si>
  <si>
    <t>DIPAK VIJAY TABALE</t>
  </si>
  <si>
    <t>BHAVESH KASHINATH MHANERE</t>
  </si>
  <si>
    <t>ANIKET BABASAHEB DONGARE</t>
  </si>
  <si>
    <t>MAHESH RAMSOORAT KUMAR</t>
  </si>
  <si>
    <t>MOHD ASLAM NISAR AHMAD MOMIN</t>
  </si>
  <si>
    <t>NOOR ALI MAULALI SHAIKH</t>
  </si>
  <si>
    <t>SALIM MAHEBOOB SHAIKH</t>
  </si>
  <si>
    <t>MUSHTAQUE SHAIKH</t>
  </si>
  <si>
    <t>MOHD HASEEB ABDUL HAFIZ MOMIN</t>
  </si>
  <si>
    <t>ROSHANLAL BHAWANLAL BAIRWA</t>
  </si>
  <si>
    <t>NANHE MUKUNDLAL</t>
  </si>
  <si>
    <t>NOMAN ZULFEQAR ALI SHAIKH</t>
  </si>
  <si>
    <t>MOHD ATHESHAM SHAMSHUDDIN ANSARI</t>
  </si>
  <si>
    <t>KRISHNA PAL SHYAMPAL BHASKAR</t>
  </si>
  <si>
    <t>RUSHIKESH ARUN SAKHARE</t>
  </si>
  <si>
    <t>ATUL KATHOD PATIL</t>
  </si>
  <si>
    <t>DIPESH PRABHAKAR PATIL</t>
  </si>
  <si>
    <t>RAKESHKUMAR RAMMANI BHASKAR</t>
  </si>
  <si>
    <t>FAISAL GULAM DASTGIEER MOMIN</t>
  </si>
  <si>
    <t>SANDEEP VALKYA PATIL</t>
  </si>
  <si>
    <t>KETAN DYANDEV PATIL</t>
  </si>
  <si>
    <t>KARAN BIRJU MASKE</t>
  </si>
  <si>
    <t>AJAY GHANSHYAM VISHWKARMA</t>
  </si>
  <si>
    <t>PRATIK MANIK BELLE</t>
  </si>
  <si>
    <t>AKBAR ALI ASAGAR ALI KHAN</t>
  </si>
  <si>
    <t>MOHD FAHEEM AZEEM AHMAD KHAN</t>
  </si>
  <si>
    <t>ADITYAKUMAR UMESHKUMAR GUPTA</t>
  </si>
  <si>
    <t>DNYANESHWAR EKNATH ROKADE</t>
  </si>
  <si>
    <t>ANIKET SAKHADEV YADAV</t>
  </si>
  <si>
    <t>VINOD GULABCHAND YADAV</t>
  </si>
  <si>
    <t>GANESH RAJARAM POL</t>
  </si>
  <si>
    <t>WASIM RAISUL AZAM ANSARI</t>
  </si>
  <si>
    <t>LUQMAN INTEKHAB ALAM ANASRI</t>
  </si>
  <si>
    <t>MUIM HALIM AHMAD</t>
  </si>
  <si>
    <t>UNAIS AHMED MOMIN</t>
  </si>
  <si>
    <t>ARFAT ANWAR MOMIN</t>
  </si>
  <si>
    <t>GOKUL SHIVNATH KHAMATE</t>
  </si>
  <si>
    <t>ANILKUMAR NAGESHWAR KANNOJIYA</t>
  </si>
  <si>
    <t>MAHESH DHUMAL</t>
  </si>
  <si>
    <t>ANANDMOHAN ASHOK MISHRA</t>
  </si>
  <si>
    <t>MAHESH LAHU HAGARE</t>
  </si>
  <si>
    <t>VIVEK KISHAN PATIL</t>
  </si>
  <si>
    <t>SATISH NANKAU JAISWAR</t>
  </si>
  <si>
    <t>008800</t>
  </si>
  <si>
    <t>008824</t>
  </si>
  <si>
    <t>008825</t>
  </si>
  <si>
    <t>009069</t>
  </si>
  <si>
    <t>009070</t>
  </si>
  <si>
    <t>009072</t>
  </si>
  <si>
    <t>009074</t>
  </si>
  <si>
    <t>009075</t>
  </si>
  <si>
    <t>009078</t>
  </si>
  <si>
    <t>009079</t>
  </si>
  <si>
    <t>009080</t>
  </si>
  <si>
    <t>009081</t>
  </si>
  <si>
    <t>009082</t>
  </si>
  <si>
    <t>009083</t>
  </si>
  <si>
    <t>009084</t>
  </si>
  <si>
    <t>009085</t>
  </si>
  <si>
    <t>009086</t>
  </si>
  <si>
    <t>009087</t>
  </si>
  <si>
    <t>009088</t>
  </si>
  <si>
    <t>009089</t>
  </si>
  <si>
    <t>009090</t>
  </si>
  <si>
    <t>009091</t>
  </si>
  <si>
    <t>009092</t>
  </si>
  <si>
    <t>009093</t>
  </si>
  <si>
    <t>009094</t>
  </si>
  <si>
    <t>009005</t>
  </si>
  <si>
    <t>009006</t>
  </si>
  <si>
    <t>009007</t>
  </si>
  <si>
    <t>009008</t>
  </si>
  <si>
    <t>009009</t>
  </si>
  <si>
    <t>009010</t>
  </si>
  <si>
    <t>009012</t>
  </si>
  <si>
    <t>009013</t>
  </si>
  <si>
    <t>009014</t>
  </si>
  <si>
    <t>009015</t>
  </si>
  <si>
    <t>009068</t>
  </si>
  <si>
    <t>009016</t>
  </si>
  <si>
    <t>009017</t>
  </si>
  <si>
    <t>009018</t>
  </si>
  <si>
    <t>009019</t>
  </si>
  <si>
    <t>009020</t>
  </si>
  <si>
    <t>009021</t>
  </si>
  <si>
    <t>009022</t>
  </si>
  <si>
    <t>009023</t>
  </si>
  <si>
    <t>009024</t>
  </si>
  <si>
    <t>009027</t>
  </si>
  <si>
    <t>009028</t>
  </si>
  <si>
    <t>009029</t>
  </si>
  <si>
    <t>009031</t>
  </si>
  <si>
    <t>009034</t>
  </si>
  <si>
    <t>009036</t>
  </si>
  <si>
    <t>009038</t>
  </si>
  <si>
    <t>009039</t>
  </si>
  <si>
    <t>009040</t>
  </si>
  <si>
    <t>009041</t>
  </si>
  <si>
    <t>009042</t>
  </si>
  <si>
    <t>009044</t>
  </si>
  <si>
    <t>009045</t>
  </si>
  <si>
    <t>009046</t>
  </si>
  <si>
    <t>009047</t>
  </si>
  <si>
    <t>009048</t>
  </si>
  <si>
    <t>009049</t>
  </si>
  <si>
    <t>009050</t>
  </si>
  <si>
    <t>009051</t>
  </si>
  <si>
    <t>009052</t>
  </si>
  <si>
    <t>009054</t>
  </si>
  <si>
    <t>009055</t>
  </si>
  <si>
    <t>009056</t>
  </si>
  <si>
    <t>009057</t>
  </si>
  <si>
    <t>009059</t>
  </si>
  <si>
    <t>009060</t>
  </si>
  <si>
    <t>009061</t>
  </si>
  <si>
    <t>009062</t>
  </si>
  <si>
    <t>009063</t>
  </si>
  <si>
    <t>009064</t>
  </si>
  <si>
    <t>009065</t>
  </si>
  <si>
    <t>009066</t>
  </si>
  <si>
    <t>009067</t>
  </si>
  <si>
    <t>009026</t>
  </si>
  <si>
    <t xml:space="preserve">SHAILENDRA PRATAP SINGH </t>
  </si>
  <si>
    <t>DHARMENDRA YADAV</t>
  </si>
  <si>
    <t>AASHISH  RAWAT</t>
  </si>
  <si>
    <t>ADITYA SINGH</t>
  </si>
  <si>
    <t>MONU SINGH</t>
  </si>
  <si>
    <t>CHANDAN</t>
  </si>
  <si>
    <t>SHEEBU</t>
  </si>
  <si>
    <t>SANDEEP</t>
  </si>
  <si>
    <t>RAJAN KUMAR</t>
  </si>
  <si>
    <t>VIVEK MEHTA</t>
  </si>
  <si>
    <t>BHUVNESHWAR SINGH</t>
  </si>
  <si>
    <t>AMRITPAL SINGH</t>
  </si>
  <si>
    <t>MOHIT</t>
  </si>
  <si>
    <t>ANGAD KUMAR</t>
  </si>
  <si>
    <t>UMESH CHAUDHARY</t>
  </si>
  <si>
    <t>MINTU KUMAR MISHRA</t>
  </si>
  <si>
    <t>DILIP KUMAR</t>
  </si>
  <si>
    <t>PRADEEP SINGH</t>
  </si>
  <si>
    <t>ROHIT SINGH AIRA</t>
  </si>
  <si>
    <t>KRISHAN KARAN SINGH</t>
  </si>
  <si>
    <t>ASHUTOSH SINGH</t>
  </si>
  <si>
    <t>NAWAZ ANSARI</t>
  </si>
  <si>
    <t>ANSHU SINGH</t>
  </si>
  <si>
    <t>RAJIV RAVAT</t>
  </si>
  <si>
    <t>RADHEY SHYAM</t>
  </si>
  <si>
    <t>009177</t>
  </si>
  <si>
    <t>009176</t>
  </si>
  <si>
    <t>008362</t>
  </si>
  <si>
    <t>SUPERVISOR</t>
  </si>
  <si>
    <t>DISPACTH</t>
  </si>
  <si>
    <t>INWARD HELPER</t>
  </si>
  <si>
    <t>009210</t>
  </si>
  <si>
    <t>009244</t>
  </si>
  <si>
    <t>009220</t>
  </si>
  <si>
    <t>009245</t>
  </si>
  <si>
    <t>009223</t>
  </si>
  <si>
    <t>009225</t>
  </si>
  <si>
    <t>009226</t>
  </si>
  <si>
    <t>009242</t>
  </si>
  <si>
    <t>009216</t>
  </si>
  <si>
    <t>009218</t>
  </si>
  <si>
    <t>009246</t>
  </si>
  <si>
    <t>009204</t>
  </si>
  <si>
    <t>009205</t>
  </si>
  <si>
    <t>009206</t>
  </si>
  <si>
    <t>009207</t>
  </si>
  <si>
    <t>009208</t>
  </si>
  <si>
    <t>GOPAL SINGH</t>
  </si>
  <si>
    <t>SATYAM</t>
  </si>
  <si>
    <t>DIGEMBER SINGH</t>
  </si>
  <si>
    <t>ALOK KUMAR</t>
  </si>
  <si>
    <t>GAURAV JHA</t>
  </si>
  <si>
    <t>ROHIT SHARMA</t>
  </si>
  <si>
    <t>DURGESH KUMAR MEENA</t>
  </si>
  <si>
    <t>KHUSHAL</t>
  </si>
  <si>
    <t>SONU GAUTAM</t>
  </si>
  <si>
    <t>KARUNESH SHUKLA</t>
  </si>
  <si>
    <t xml:space="preserve">SHIVAM </t>
  </si>
  <si>
    <t>RAVI SHEKHAR DAS</t>
  </si>
  <si>
    <t>SUBHASH JAYSAWAR</t>
  </si>
  <si>
    <t>VIPIN KUMAR</t>
  </si>
  <si>
    <t>VED PRAKASH</t>
  </si>
  <si>
    <t>SAURABH MISHRA</t>
  </si>
  <si>
    <t>ROHIT KUMAR</t>
  </si>
  <si>
    <t xml:space="preserve">AMIT </t>
  </si>
  <si>
    <t>SAURABH SHARMA</t>
  </si>
  <si>
    <t>VIJAY</t>
  </si>
  <si>
    <t>PAWAN SINGH KACCHAWAH</t>
  </si>
  <si>
    <t>JEETU</t>
  </si>
  <si>
    <t>MD NAUSHAD</t>
  </si>
  <si>
    <t>GAGAN PASWAN</t>
  </si>
  <si>
    <t>BONUS</t>
  </si>
  <si>
    <t>Incentive</t>
  </si>
  <si>
    <t>Salary statement for the month of Dec-17</t>
  </si>
  <si>
    <t>009505</t>
  </si>
  <si>
    <t>009512</t>
  </si>
  <si>
    <t>009513</t>
  </si>
  <si>
    <t>009514</t>
  </si>
  <si>
    <t>009515</t>
  </si>
  <si>
    <t>009516</t>
  </si>
  <si>
    <t>009517</t>
  </si>
  <si>
    <t>009520</t>
  </si>
  <si>
    <t>009521</t>
  </si>
  <si>
    <t>009522</t>
  </si>
  <si>
    <t>009524</t>
  </si>
  <si>
    <t>009525</t>
  </si>
  <si>
    <t>009526</t>
  </si>
  <si>
    <t>009528</t>
  </si>
  <si>
    <t>009502</t>
  </si>
  <si>
    <t>009503</t>
  </si>
  <si>
    <t>007456</t>
  </si>
  <si>
    <t>009497</t>
  </si>
  <si>
    <t>009499</t>
  </si>
  <si>
    <t>009506</t>
  </si>
  <si>
    <t>009507</t>
  </si>
  <si>
    <t>009508</t>
  </si>
  <si>
    <t>009510</t>
  </si>
  <si>
    <t>SANOJ KUMAR  (SONU)</t>
  </si>
  <si>
    <t>009518</t>
  </si>
  <si>
    <t>009519</t>
  </si>
  <si>
    <t>009527</t>
  </si>
  <si>
    <t>006147</t>
  </si>
  <si>
    <t>009504</t>
  </si>
  <si>
    <t>009500</t>
  </si>
  <si>
    <t>009498</t>
  </si>
  <si>
    <t xml:space="preserve">RTV </t>
  </si>
  <si>
    <t>STO</t>
  </si>
  <si>
    <t>VISHNU AVTAR</t>
  </si>
  <si>
    <t>JITENDRA SHUKLA</t>
  </si>
  <si>
    <t>RAJEEV KUMAR</t>
  </si>
  <si>
    <t>AJEET KUMAR</t>
  </si>
  <si>
    <t>NUR ISLAM</t>
  </si>
  <si>
    <t>NUR AHMAD</t>
  </si>
  <si>
    <t>VIRENDER KUMAR</t>
  </si>
  <si>
    <t>RAHUL SAXENA</t>
  </si>
  <si>
    <t>PARVEEN</t>
  </si>
  <si>
    <t>KAUSHENDRA CHAUHAN</t>
  </si>
  <si>
    <t>SURAJ</t>
  </si>
  <si>
    <t>BHOJPAL SINGH</t>
  </si>
  <si>
    <t>KRISHNA AVTAR SINGH</t>
  </si>
  <si>
    <t>DINESH KUMAR</t>
  </si>
  <si>
    <t>RAKESH KUMAR MANDAL</t>
  </si>
  <si>
    <t>NITISH KUMAR</t>
  </si>
  <si>
    <t>MANAS KUMAR MOHAJAN</t>
  </si>
  <si>
    <t>AMAR KUMAR</t>
  </si>
  <si>
    <t>BALWAN SINGH</t>
  </si>
  <si>
    <t>SANOJ</t>
  </si>
  <si>
    <t>ANSHU KUMAR</t>
  </si>
  <si>
    <t>NISHANT KUMAR</t>
  </si>
  <si>
    <t>NEERAJ</t>
  </si>
  <si>
    <t>ANKAJ KUMAR</t>
  </si>
  <si>
    <t>RAHUL PRASAD</t>
  </si>
  <si>
    <t>SATYAM SINGH</t>
  </si>
  <si>
    <t>RAJIV</t>
  </si>
  <si>
    <t>SUBHODH SINGH</t>
  </si>
  <si>
    <t>ROSHAN KUMAR SINGH</t>
  </si>
  <si>
    <t>NAFEES ANWAR</t>
  </si>
  <si>
    <t>REMENT JHA</t>
  </si>
  <si>
    <t>MAHENDRA PRATAP SINGH</t>
  </si>
  <si>
    <t>VINIT KUMAR</t>
  </si>
  <si>
    <t>ANURAG KUMAR</t>
  </si>
  <si>
    <t>PARDEEP KUMAR</t>
  </si>
  <si>
    <t>INDRAJEET VISHWAKARMA</t>
  </si>
  <si>
    <t>CHETAN SINGH</t>
  </si>
  <si>
    <t>RAJ KUMAR RAY</t>
  </si>
  <si>
    <t>AMIT</t>
  </si>
  <si>
    <t>LAXMI NARAYAN</t>
  </si>
  <si>
    <t>AMARJEET SINGH_NOV</t>
  </si>
  <si>
    <t>MANISH KUMAR_NOV</t>
  </si>
  <si>
    <t>SANDEEP_NOV</t>
  </si>
  <si>
    <t>009224</t>
  </si>
  <si>
    <t>CCA Arreas</t>
  </si>
  <si>
    <t>009290</t>
  </si>
  <si>
    <t>009254</t>
  </si>
  <si>
    <t>009255</t>
  </si>
  <si>
    <t>009256</t>
  </si>
  <si>
    <t>009257</t>
  </si>
  <si>
    <t>009260</t>
  </si>
  <si>
    <t>009262</t>
  </si>
  <si>
    <t>009263</t>
  </si>
  <si>
    <t>009288</t>
  </si>
  <si>
    <t>009267</t>
  </si>
  <si>
    <t>009268</t>
  </si>
  <si>
    <t>009270</t>
  </si>
  <si>
    <t>009272</t>
  </si>
  <si>
    <t>009275</t>
  </si>
  <si>
    <t>009276</t>
  </si>
  <si>
    <t>009277</t>
  </si>
  <si>
    <t>009280</t>
  </si>
  <si>
    <t>009284</t>
  </si>
  <si>
    <t>009285</t>
  </si>
  <si>
    <t>009474</t>
  </si>
  <si>
    <t>MUTHU KUMAR PERUNAL PARIYAR</t>
  </si>
  <si>
    <t>009461</t>
  </si>
  <si>
    <t>AKASH CHANDRAKANT LOKHANDE</t>
  </si>
  <si>
    <t>009475</t>
  </si>
  <si>
    <t>SANJAY CHAITU VATAS</t>
  </si>
  <si>
    <t>009458</t>
  </si>
  <si>
    <t>TRUPTI PRAKASH PALSAMKAR</t>
  </si>
  <si>
    <t>009476</t>
  </si>
  <si>
    <t>ABHISHEK TUKARAM BARGUDE</t>
  </si>
  <si>
    <t>009466</t>
  </si>
  <si>
    <t>MANGESH NAMDEV PARBALKAR</t>
  </si>
  <si>
    <t>LOADER</t>
  </si>
  <si>
    <t>009477</t>
  </si>
  <si>
    <t>VIGHNESH ASHOK WAGDALE</t>
  </si>
  <si>
    <t>009463</t>
  </si>
  <si>
    <t>AJAY VITTHAL SURYAVANSHI</t>
  </si>
  <si>
    <t>009465</t>
  </si>
  <si>
    <t>YOGESH GANPAT GOVIND</t>
  </si>
  <si>
    <t>009479</t>
  </si>
  <si>
    <t>UMESH CHANDRADEV NISHAD</t>
  </si>
  <si>
    <t>009480</t>
  </si>
  <si>
    <t>AMIT KUMAR RAM BHAVAR NIRMAL</t>
  </si>
  <si>
    <t>009481</t>
  </si>
  <si>
    <t>ASHISH DINANATH KESARWANI</t>
  </si>
  <si>
    <t>009482</t>
  </si>
  <si>
    <t>SAGAR SANJAY PAWAR</t>
  </si>
  <si>
    <t>009459</t>
  </si>
  <si>
    <t>PRIYANKA SAURABH GHORPADE</t>
  </si>
  <si>
    <t>009457</t>
  </si>
  <si>
    <t>AVINASH POPAT KAKADE</t>
  </si>
  <si>
    <t>009460</t>
  </si>
  <si>
    <t>NANDINI CHINNARAO NIMMANA</t>
  </si>
  <si>
    <t>009490</t>
  </si>
  <si>
    <t xml:space="preserve">AKASH ANNA GHODAKE </t>
  </si>
  <si>
    <t>009492</t>
  </si>
  <si>
    <t>DEEPAK SHYAMNANDAN MISHRA</t>
  </si>
  <si>
    <t>009494</t>
  </si>
  <si>
    <t>PRASHANT VILAS ADAGA</t>
  </si>
  <si>
    <t>GANESH ANAND DOKFODE</t>
  </si>
  <si>
    <t>ATUL VISHNU PATIL</t>
  </si>
  <si>
    <t>NITESH KUSHAL THAK</t>
  </si>
  <si>
    <t>KARUNAKAR MALLAYYA MACHERLA</t>
  </si>
  <si>
    <t>RAMESH NATHU PATIL</t>
  </si>
  <si>
    <t>HOSEKEEPING</t>
  </si>
  <si>
    <t>CHETAN SADASHIV PATIL</t>
  </si>
  <si>
    <t>RISHAB KANKAR KURMI</t>
  </si>
  <si>
    <t>POOJA SUCCUR FERNANDES</t>
  </si>
  <si>
    <t>PRAVIN CHANGDEV RATHOD</t>
  </si>
  <si>
    <t>AKASH RAVINDRA WANKHEDE</t>
  </si>
  <si>
    <t>SUNIL LALASO SHEVALE</t>
  </si>
  <si>
    <t>009261</t>
  </si>
  <si>
    <t>009592</t>
  </si>
  <si>
    <t>009601</t>
  </si>
  <si>
    <t>009602</t>
  </si>
  <si>
    <t>009597</t>
  </si>
  <si>
    <t>009593</t>
  </si>
  <si>
    <t>009603</t>
  </si>
  <si>
    <t>009596</t>
  </si>
  <si>
    <t>009598</t>
  </si>
  <si>
    <t>009599</t>
  </si>
  <si>
    <t>009600</t>
  </si>
  <si>
    <t>009655</t>
  </si>
  <si>
    <t>009606</t>
  </si>
  <si>
    <t>009653</t>
  </si>
  <si>
    <t>009609</t>
  </si>
  <si>
    <t>009654</t>
  </si>
  <si>
    <t>009610</t>
  </si>
  <si>
    <t>009611</t>
  </si>
  <si>
    <t>009612</t>
  </si>
  <si>
    <t>009613</t>
  </si>
  <si>
    <t>009614</t>
  </si>
  <si>
    <t>009615</t>
  </si>
  <si>
    <t>009616</t>
  </si>
  <si>
    <t>009617</t>
  </si>
  <si>
    <t>009618</t>
  </si>
  <si>
    <t>009619</t>
  </si>
  <si>
    <t>009620</t>
  </si>
  <si>
    <t>009621</t>
  </si>
  <si>
    <t>009622</t>
  </si>
  <si>
    <t>009623</t>
  </si>
  <si>
    <t>009624</t>
  </si>
  <si>
    <t>009625</t>
  </si>
  <si>
    <t>009626</t>
  </si>
  <si>
    <t>009627</t>
  </si>
  <si>
    <t>009628</t>
  </si>
  <si>
    <t>009629</t>
  </si>
  <si>
    <t>009630</t>
  </si>
  <si>
    <t>009631</t>
  </si>
  <si>
    <t>009632</t>
  </si>
  <si>
    <t>009633</t>
  </si>
  <si>
    <t>009635</t>
  </si>
  <si>
    <t>009636</t>
  </si>
  <si>
    <t>009637</t>
  </si>
  <si>
    <t>009638</t>
  </si>
  <si>
    <t>009639</t>
  </si>
  <si>
    <t>009641</t>
  </si>
  <si>
    <t>009642</t>
  </si>
  <si>
    <t>009643</t>
  </si>
  <si>
    <t>009644</t>
  </si>
  <si>
    <t>009645</t>
  </si>
  <si>
    <t>009646</t>
  </si>
  <si>
    <t>009647</t>
  </si>
  <si>
    <t>009648</t>
  </si>
  <si>
    <t>009649</t>
  </si>
  <si>
    <t>009650</t>
  </si>
  <si>
    <t>009651</t>
  </si>
  <si>
    <t>009652</t>
  </si>
  <si>
    <t>009607</t>
  </si>
  <si>
    <t>009608</t>
  </si>
  <si>
    <t>009605</t>
  </si>
  <si>
    <t>009640</t>
  </si>
  <si>
    <t>PRASAD SURESH KHANVILKAR</t>
  </si>
  <si>
    <t>BRIJESHKUMAR UMASHANKAR YADAV</t>
  </si>
  <si>
    <t>RABINDRAKUMAR RAMBRAT PRAJAPAT</t>
  </si>
  <si>
    <t>HAFEEZ URREHMAN SHAIKH</t>
  </si>
  <si>
    <t>ZOHMANGAIHA LALHRILMAWI SAILAU</t>
  </si>
  <si>
    <t>DILIP KUMAR RAMVILASH RAM BHARTI</t>
  </si>
  <si>
    <t>SACHIN PYARELAL GUPTA</t>
  </si>
  <si>
    <t>SAJAN NIVRUTTI PAWAR</t>
  </si>
  <si>
    <t>RITU ASHOK MANDAL</t>
  </si>
  <si>
    <t>DEEPAK DYANU PATIL</t>
  </si>
  <si>
    <t>DEEPAK KUMAR SANROSH DWIVEDI</t>
  </si>
  <si>
    <t>AKSHAY BHIMRAO SONAWANE</t>
  </si>
  <si>
    <t>ARYAN RAMFER GAUTAM</t>
  </si>
  <si>
    <t>RAVIKUMAR SHYAMLAL</t>
  </si>
  <si>
    <t>KRISHNAKANT PRIVESH SINGH</t>
  </si>
  <si>
    <t>MOHD SARFARAZ ARMAN ALI ANSARI</t>
  </si>
  <si>
    <t>ATUL RAMU VANGAD</t>
  </si>
  <si>
    <t>KETAN ASHOK MAHAKAL</t>
  </si>
  <si>
    <t>NITIN MADHUKAR TOPALE</t>
  </si>
  <si>
    <t>ARJUN SHANKAR PATARA</t>
  </si>
  <si>
    <t>PRASHANT VILAS MAHAKAL</t>
  </si>
  <si>
    <t>DINESH VISHNU PATARA</t>
  </si>
  <si>
    <t>SAGAR VISHNU CHOUDHARI</t>
  </si>
  <si>
    <t>KISHAN MAHENDRASING THAKUR</t>
  </si>
  <si>
    <t>009594</t>
  </si>
  <si>
    <t>009281</t>
  </si>
  <si>
    <t>Salary statement for the month of Jan-18</t>
  </si>
  <si>
    <t>CCA_Arreas</t>
  </si>
  <si>
    <t>VINOD KUMAR DUBEY</t>
  </si>
  <si>
    <t>MUKESH KUMAR JHA</t>
  </si>
  <si>
    <t>SAURAV</t>
  </si>
  <si>
    <t>SURYA KUMAR KHAN</t>
  </si>
  <si>
    <t>KAVI CHANDRA</t>
  </si>
  <si>
    <t>RAUSHAN KUMAR</t>
  </si>
  <si>
    <t>GAURAV KUMAR</t>
  </si>
  <si>
    <t>PUTWAY</t>
  </si>
  <si>
    <t>AMIT SAINI</t>
  </si>
  <si>
    <t>SHIV MURAT SHARMA</t>
  </si>
  <si>
    <t xml:space="preserve">GUDDU </t>
  </si>
  <si>
    <t>SHANABUDDIN KAMALUDDIN ANSARI</t>
  </si>
  <si>
    <t>RENT</t>
  </si>
  <si>
    <t>009741</t>
  </si>
  <si>
    <t>009742</t>
  </si>
  <si>
    <t>009743</t>
  </si>
  <si>
    <t>009744</t>
  </si>
  <si>
    <t>009745</t>
  </si>
  <si>
    <t>009746</t>
  </si>
  <si>
    <t>009747</t>
  </si>
  <si>
    <t>009748</t>
  </si>
  <si>
    <t>009749</t>
  </si>
  <si>
    <t>009750</t>
  </si>
  <si>
    <t>009751</t>
  </si>
  <si>
    <t>009753</t>
  </si>
  <si>
    <t>009754</t>
  </si>
  <si>
    <t>009755</t>
  </si>
  <si>
    <t>009756</t>
  </si>
  <si>
    <t>009757</t>
  </si>
  <si>
    <t>009758</t>
  </si>
  <si>
    <t>009759</t>
  </si>
  <si>
    <t>009760</t>
  </si>
  <si>
    <t>009761</t>
  </si>
  <si>
    <t>009762</t>
  </si>
  <si>
    <t>009763</t>
  </si>
  <si>
    <t>009764</t>
  </si>
  <si>
    <t>009766</t>
  </si>
  <si>
    <t>009767</t>
  </si>
  <si>
    <t>009768</t>
  </si>
  <si>
    <t>009769</t>
  </si>
  <si>
    <t>009770</t>
  </si>
  <si>
    <t>009771</t>
  </si>
  <si>
    <t>009772</t>
  </si>
  <si>
    <t>009773</t>
  </si>
  <si>
    <t>009774</t>
  </si>
  <si>
    <t>009775</t>
  </si>
  <si>
    <t>009776</t>
  </si>
  <si>
    <t>009777</t>
  </si>
  <si>
    <t>009778</t>
  </si>
  <si>
    <t>Salary statement for the month of FEB-18</t>
  </si>
  <si>
    <t>SAURABH KUMAR</t>
  </si>
  <si>
    <t>ATUL KUMAR</t>
  </si>
  <si>
    <t>KRISHAN KUMAR</t>
  </si>
  <si>
    <t>AMIT RAWAT</t>
  </si>
  <si>
    <t>MUKESH KUMAR RAM</t>
  </si>
  <si>
    <t>NEMCHAND</t>
  </si>
  <si>
    <t>GAUTAM KUMAR</t>
  </si>
  <si>
    <t>QC</t>
  </si>
  <si>
    <t>009893</t>
  </si>
  <si>
    <t>009894</t>
  </si>
  <si>
    <t>009895</t>
  </si>
  <si>
    <t>009896</t>
  </si>
  <si>
    <t>009897</t>
  </si>
  <si>
    <t>009898</t>
  </si>
  <si>
    <t>009899</t>
  </si>
  <si>
    <t>CLN</t>
  </si>
  <si>
    <t>DIFF</t>
  </si>
  <si>
    <t>OTHER</t>
  </si>
  <si>
    <t>Emp Code</t>
  </si>
  <si>
    <t>Employee Name</t>
  </si>
  <si>
    <t>DOJ</t>
  </si>
  <si>
    <t>Shift</t>
  </si>
  <si>
    <t>P</t>
  </si>
  <si>
    <t>WO</t>
  </si>
  <si>
    <t>00153</t>
  </si>
  <si>
    <t>Ajay</t>
  </si>
  <si>
    <t>Day</t>
  </si>
  <si>
    <t>A</t>
  </si>
  <si>
    <t>00104</t>
  </si>
  <si>
    <t>Manoj kumar</t>
  </si>
  <si>
    <t>Inward</t>
  </si>
  <si>
    <t>00105</t>
  </si>
  <si>
    <t>Pramod Mamgain</t>
  </si>
  <si>
    <t>00102</t>
  </si>
  <si>
    <t>Romit kumar</t>
  </si>
  <si>
    <t>Night</t>
  </si>
  <si>
    <t>00101</t>
  </si>
  <si>
    <t>Mukesh kumar mishra</t>
  </si>
  <si>
    <t>00106</t>
  </si>
  <si>
    <t>Amit singh</t>
  </si>
  <si>
    <t>00107</t>
  </si>
  <si>
    <t>Aman kumar singh</t>
  </si>
  <si>
    <t>00373</t>
  </si>
  <si>
    <t>Akash Pratap Singh</t>
  </si>
  <si>
    <t>00410</t>
  </si>
  <si>
    <t>Anand kumar</t>
  </si>
  <si>
    <t>00420</t>
  </si>
  <si>
    <t>Deepak kumar</t>
  </si>
  <si>
    <t>00469</t>
  </si>
  <si>
    <t xml:space="preserve">Himanshu </t>
  </si>
  <si>
    <t>00426</t>
  </si>
  <si>
    <t>Amit kumar</t>
  </si>
  <si>
    <t>00463</t>
  </si>
  <si>
    <t>Anil kumar</t>
  </si>
  <si>
    <t>Biker</t>
  </si>
  <si>
    <t>Vinod</t>
  </si>
  <si>
    <t>Jitendra shukla</t>
  </si>
  <si>
    <t>00110</t>
  </si>
  <si>
    <t>Bhibhash singh</t>
  </si>
  <si>
    <t>00645</t>
  </si>
  <si>
    <t>Nur Islam</t>
  </si>
  <si>
    <t>00639</t>
  </si>
  <si>
    <t>Ajeet kumar</t>
  </si>
  <si>
    <t>00718</t>
  </si>
  <si>
    <t>Saurabh kumar</t>
  </si>
  <si>
    <t>00724</t>
  </si>
  <si>
    <t>Atul kumar</t>
  </si>
  <si>
    <t>00725</t>
  </si>
  <si>
    <t>Krishan kumar</t>
  </si>
  <si>
    <t>00726</t>
  </si>
  <si>
    <t>Amit rawat</t>
  </si>
  <si>
    <t>00271</t>
  </si>
  <si>
    <t>Ashish</t>
  </si>
  <si>
    <t>Picking</t>
  </si>
  <si>
    <t>00143</t>
  </si>
  <si>
    <t>Sarvesh kumar</t>
  </si>
  <si>
    <t>00315</t>
  </si>
  <si>
    <t>Sanatan bhatacharjee</t>
  </si>
  <si>
    <t>00086</t>
  </si>
  <si>
    <t>Vishwanath Tiwari</t>
  </si>
  <si>
    <t>00145</t>
  </si>
  <si>
    <t>Mukesh kumar ram</t>
  </si>
  <si>
    <t>00137</t>
  </si>
  <si>
    <t>Sumit kumar singh</t>
  </si>
  <si>
    <t>00088</t>
  </si>
  <si>
    <t>00164</t>
  </si>
  <si>
    <t>Rajesh kumar</t>
  </si>
  <si>
    <t>00092</t>
  </si>
  <si>
    <t>Updesh tiwari</t>
  </si>
  <si>
    <t>00057</t>
  </si>
  <si>
    <t>Vinay kumar</t>
  </si>
  <si>
    <t>00217</t>
  </si>
  <si>
    <t>Raju</t>
  </si>
  <si>
    <t>00227</t>
  </si>
  <si>
    <t>Gaurav</t>
  </si>
  <si>
    <t>00069</t>
  </si>
  <si>
    <t>lalit kumar</t>
  </si>
  <si>
    <t>00199</t>
  </si>
  <si>
    <t>Rajan sharma</t>
  </si>
  <si>
    <t>00172</t>
  </si>
  <si>
    <t>Mahindra pal singh</t>
  </si>
  <si>
    <t>00132</t>
  </si>
  <si>
    <t>Sunny dev</t>
  </si>
  <si>
    <t>00140</t>
  </si>
  <si>
    <t>Krishna singh</t>
  </si>
  <si>
    <t>Afternoon</t>
  </si>
  <si>
    <t>00364</t>
  </si>
  <si>
    <t>vijay kumar singh</t>
  </si>
  <si>
    <t>00371</t>
  </si>
  <si>
    <t>Vikas Gupta</t>
  </si>
  <si>
    <t>00391</t>
  </si>
  <si>
    <t>Aditya kumar</t>
  </si>
  <si>
    <t>00136</t>
  </si>
  <si>
    <t>Sagar kumar sharma</t>
  </si>
  <si>
    <t>00065</t>
  </si>
  <si>
    <t>00141</t>
  </si>
  <si>
    <t>Vinod kumar yadav</t>
  </si>
  <si>
    <t>00588</t>
  </si>
  <si>
    <t>Sonu gautam</t>
  </si>
  <si>
    <t>00062</t>
  </si>
  <si>
    <t>Bishnu kumar jha</t>
  </si>
  <si>
    <t>00597</t>
  </si>
  <si>
    <t>Subhash jaysawar</t>
  </si>
  <si>
    <t>00598</t>
  </si>
  <si>
    <t>Rakesh kumar</t>
  </si>
  <si>
    <t>00090</t>
  </si>
  <si>
    <t>Phool singh</t>
  </si>
  <si>
    <t>00365</t>
  </si>
  <si>
    <t>Sadab ansari</t>
  </si>
  <si>
    <t>00299</t>
  </si>
  <si>
    <t>Jogendra Prasad</t>
  </si>
  <si>
    <t>Packing</t>
  </si>
  <si>
    <t>00015</t>
  </si>
  <si>
    <t>Baliram Yadav</t>
  </si>
  <si>
    <t>00046</t>
  </si>
  <si>
    <t>Gulshan kumar</t>
  </si>
  <si>
    <t>00073</t>
  </si>
  <si>
    <t>vipendra kumar</t>
  </si>
  <si>
    <t>00070</t>
  </si>
  <si>
    <t>Pawan kumar singh</t>
  </si>
  <si>
    <t>00097</t>
  </si>
  <si>
    <t>Nitesh kumar</t>
  </si>
  <si>
    <t>00075</t>
  </si>
  <si>
    <t>Vipin kumar</t>
  </si>
  <si>
    <t>00358</t>
  </si>
  <si>
    <t>Sunil kumar</t>
  </si>
  <si>
    <t>00374</t>
  </si>
  <si>
    <t>Joni Kumar</t>
  </si>
  <si>
    <t>00501</t>
  </si>
  <si>
    <t>Kishore kumar jha</t>
  </si>
  <si>
    <t>00031</t>
  </si>
  <si>
    <t>Hari Karan singh</t>
  </si>
  <si>
    <t>00587</t>
  </si>
  <si>
    <t>Saurabh mishra</t>
  </si>
  <si>
    <t>00237</t>
  </si>
  <si>
    <t>Rajesh kumar ram</t>
  </si>
  <si>
    <t>Dispatch</t>
  </si>
  <si>
    <t>00074</t>
  </si>
  <si>
    <t>Ravi kumar</t>
  </si>
  <si>
    <t>00119</t>
  </si>
  <si>
    <t xml:space="preserve">Manish kumar </t>
  </si>
  <si>
    <t>00118</t>
  </si>
  <si>
    <t>Vikash singh</t>
  </si>
  <si>
    <t>00120</t>
  </si>
  <si>
    <t>Adesh</t>
  </si>
  <si>
    <t xml:space="preserve">Floor </t>
  </si>
  <si>
    <t>00600</t>
  </si>
  <si>
    <t>Rohit kumar</t>
  </si>
  <si>
    <t>00150</t>
  </si>
  <si>
    <t>Ajay kumar</t>
  </si>
  <si>
    <t>00098</t>
  </si>
  <si>
    <t>Brijesh singh</t>
  </si>
  <si>
    <t>00052</t>
  </si>
  <si>
    <t>Aman kumar Prasad</t>
  </si>
  <si>
    <t>00042</t>
  </si>
  <si>
    <t>Dharamveer sharma</t>
  </si>
  <si>
    <t>Box Making</t>
  </si>
  <si>
    <t>00226</t>
  </si>
  <si>
    <t>Prateek das</t>
  </si>
  <si>
    <t>Audit</t>
  </si>
  <si>
    <t>0008</t>
  </si>
  <si>
    <t>Ashish das</t>
  </si>
  <si>
    <t>0006</t>
  </si>
  <si>
    <t>Upender singh</t>
  </si>
  <si>
    <t>0007</t>
  </si>
  <si>
    <t>manoj kumar</t>
  </si>
  <si>
    <t>00383</t>
  </si>
  <si>
    <t>Ankit singh</t>
  </si>
  <si>
    <t>00389</t>
  </si>
  <si>
    <t>Tej prakash singh</t>
  </si>
  <si>
    <t>00577</t>
  </si>
  <si>
    <t xml:space="preserve">Amit </t>
  </si>
  <si>
    <t>00594</t>
  </si>
  <si>
    <t>Pawan singh kacchawah</t>
  </si>
  <si>
    <t>00059</t>
  </si>
  <si>
    <t>Jagdish singh</t>
  </si>
  <si>
    <t>House Keeping</t>
  </si>
  <si>
    <t>00133</t>
  </si>
  <si>
    <t>Shyam lal</t>
  </si>
  <si>
    <t>00114</t>
  </si>
  <si>
    <t>Ravinder mandal</t>
  </si>
  <si>
    <t>00545</t>
  </si>
  <si>
    <t xml:space="preserve">Bijender </t>
  </si>
  <si>
    <t>B2B EMPNO</t>
  </si>
  <si>
    <t/>
  </si>
  <si>
    <t>HD</t>
  </si>
  <si>
    <t>SR NO</t>
  </si>
  <si>
    <t>Attendance  for the month of FEB-18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</si>
</sst>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left" vertical="center"/>
    </xf>
    <xf numFmtId="44" fontId="2" fillId="0" borderId="0" xfId="2" applyFont="1" applyFill="1" applyBorder="1" applyAlignment="1">
      <alignment horizontal="left" vertical="center"/>
    </xf>
    <xf numFmtId="44" fontId="2" fillId="0" borderId="0" xfId="2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64" fontId="2" fillId="0" borderId="0" xfId="1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horizontal="right" vertical="center"/>
    </xf>
    <xf numFmtId="0" fontId="3" fillId="0" borderId="0" xfId="0" quotePrefix="1" applyFont="1" applyFill="1" applyAlignment="1"/>
    <xf numFmtId="0" fontId="3" fillId="0" borderId="0" xfId="0" applyFont="1" applyFill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4" fillId="0" borderId="0" xfId="0" applyFont="1" applyFill="1" applyAlignment="1"/>
    <xf numFmtId="164" fontId="2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/>
    <xf numFmtId="14" fontId="3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/>
    <xf numFmtId="0" fontId="3" fillId="2" borderId="0" xfId="0" quotePrefix="1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Border="1" applyAlignment="1"/>
    <xf numFmtId="164" fontId="2" fillId="0" borderId="0" xfId="1" applyNumberFormat="1" applyFont="1" applyFill="1" applyAlignment="1">
      <alignment horizontal="center" vertical="center"/>
    </xf>
    <xf numFmtId="0" fontId="3" fillId="3" borderId="0" xfId="0" applyFont="1" applyFill="1" applyAlignment="1"/>
    <xf numFmtId="0" fontId="3" fillId="3" borderId="0" xfId="0" quotePrefix="1" applyFont="1" applyFill="1" applyAlignment="1"/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164" fontId="3" fillId="3" borderId="0" xfId="1" applyNumberFormat="1" applyFont="1" applyFill="1" applyAlignment="1"/>
    <xf numFmtId="164" fontId="3" fillId="3" borderId="0" xfId="1" applyNumberFormat="1" applyFont="1" applyFill="1" applyAlignment="1">
      <alignment horizontal="center"/>
    </xf>
    <xf numFmtId="164" fontId="3" fillId="3" borderId="0" xfId="1" applyNumberFormat="1" applyFont="1" applyFill="1" applyBorder="1" applyAlignment="1"/>
    <xf numFmtId="164" fontId="3" fillId="3" borderId="0" xfId="0" applyNumberFormat="1" applyFont="1" applyFill="1" applyAlignment="1"/>
    <xf numFmtId="0" fontId="7" fillId="0" borderId="0" xfId="0" quotePrefix="1" applyFont="1" applyFill="1" applyAlignment="1"/>
    <xf numFmtId="0" fontId="7" fillId="0" borderId="0" xfId="0" applyFont="1" applyFill="1" applyAlignment="1"/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/>
    </xf>
    <xf numFmtId="0" fontId="7" fillId="2" borderId="0" xfId="0" applyFont="1" applyFill="1" applyAlignment="1"/>
    <xf numFmtId="164" fontId="7" fillId="0" borderId="0" xfId="1" applyNumberFormat="1" applyFont="1" applyFill="1" applyAlignment="1"/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 applyBorder="1" applyAlignment="1"/>
    <xf numFmtId="164" fontId="7" fillId="2" borderId="0" xfId="1" applyNumberFormat="1" applyFont="1" applyFill="1" applyAlignment="1"/>
    <xf numFmtId="164" fontId="7" fillId="0" borderId="0" xfId="0" applyNumberFormat="1" applyFont="1" applyFill="1" applyAlignment="1"/>
    <xf numFmtId="165" fontId="3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0" fontId="3" fillId="4" borderId="0" xfId="0" applyFont="1" applyFill="1" applyAlignment="1"/>
    <xf numFmtId="0" fontId="5" fillId="0" borderId="0" xfId="0" quotePrefix="1" applyFont="1" applyFill="1" applyAlignment="1"/>
    <xf numFmtId="1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/>
    <xf numFmtId="0" fontId="3" fillId="0" borderId="0" xfId="0" quotePrefix="1" applyFont="1" applyFill="1" applyBorder="1" applyAlignment="1"/>
    <xf numFmtId="0" fontId="3" fillId="5" borderId="0" xfId="0" applyFont="1" applyFill="1" applyAlignment="1"/>
    <xf numFmtId="164" fontId="2" fillId="0" borderId="0" xfId="1" applyNumberFormat="1" applyFont="1" applyFill="1" applyAlignment="1">
      <alignment horizontal="center" vertical="center"/>
    </xf>
    <xf numFmtId="0" fontId="5" fillId="3" borderId="0" xfId="0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1" fontId="3" fillId="0" borderId="0" xfId="0" applyNumberFormat="1" applyFont="1" applyFill="1" applyAlignment="1"/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/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/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/>
    <xf numFmtId="0" fontId="3" fillId="0" borderId="2" xfId="0" quotePrefix="1" applyFont="1" applyFill="1" applyBorder="1" applyAlignment="1"/>
    <xf numFmtId="0" fontId="3" fillId="0" borderId="2" xfId="0" applyFont="1" applyFill="1" applyBorder="1" applyAlignment="1"/>
    <xf numFmtId="14" fontId="3" fillId="0" borderId="2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/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/>
    <xf numFmtId="0" fontId="2" fillId="0" borderId="3" xfId="0" applyFont="1" applyFill="1" applyBorder="1" applyAlignment="1"/>
    <xf numFmtId="164" fontId="2" fillId="0" borderId="4" xfId="1" applyNumberFormat="1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44" fontId="2" fillId="0" borderId="5" xfId="2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164" fontId="2" fillId="0" borderId="7" xfId="1" applyNumberFormat="1" applyFont="1" applyFill="1" applyBorder="1" applyAlignment="1">
      <alignment horizontal="left" vertical="center"/>
    </xf>
    <xf numFmtId="44" fontId="2" fillId="0" borderId="7" xfId="2" applyFont="1" applyFill="1" applyBorder="1" applyAlignment="1">
      <alignment horizontal="left" vertical="center"/>
    </xf>
    <xf numFmtId="44" fontId="2" fillId="0" borderId="7" xfId="2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164" fontId="2" fillId="0" borderId="7" xfId="1" applyNumberFormat="1" applyFont="1" applyFill="1" applyBorder="1" applyAlignment="1">
      <alignment horizontal="right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vertical="center"/>
    </xf>
    <xf numFmtId="44" fontId="2" fillId="0" borderId="7" xfId="2" applyFont="1" applyFill="1" applyBorder="1" applyAlignment="1">
      <alignment horizontal="right" vertical="center"/>
    </xf>
    <xf numFmtId="44" fontId="2" fillId="0" borderId="8" xfId="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0" fontId="5" fillId="0" borderId="1" xfId="0" quotePrefix="1" applyFont="1" applyFill="1" applyBorder="1" applyAlignment="1"/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164" fontId="3" fillId="0" borderId="0" xfId="1" applyNumberFormat="1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4" fontId="3" fillId="0" borderId="0" xfId="0" applyNumberFormat="1" applyFont="1" applyFill="1" applyAlignment="1"/>
    <xf numFmtId="4" fontId="11" fillId="0" borderId="0" xfId="0" applyNumberFormat="1" applyFont="1"/>
    <xf numFmtId="3" fontId="11" fillId="0" borderId="0" xfId="0" applyNumberFormat="1" applyFont="1"/>
    <xf numFmtId="164" fontId="2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vertical="center"/>
    </xf>
    <xf numFmtId="44" fontId="2" fillId="0" borderId="1" xfId="2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/>
    <xf numFmtId="4" fontId="10" fillId="0" borderId="0" xfId="0" applyNumberFormat="1" applyFont="1"/>
    <xf numFmtId="3" fontId="3" fillId="0" borderId="0" xfId="0" applyNumberFormat="1" applyFont="1" applyFill="1" applyAlignment="1"/>
    <xf numFmtId="164" fontId="5" fillId="3" borderId="1" xfId="1" applyNumberFormat="1" applyFont="1" applyFill="1" applyBorder="1" applyAlignment="1"/>
    <xf numFmtId="0" fontId="5" fillId="3" borderId="1" xfId="0" quotePrefix="1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/>
    <xf numFmtId="164" fontId="2" fillId="0" borderId="1" xfId="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quotePrefix="1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/>
    </xf>
    <xf numFmtId="4" fontId="10" fillId="0" borderId="0" xfId="0" applyNumberFormat="1" applyFont="1" applyFill="1"/>
    <xf numFmtId="4" fontId="11" fillId="0" borderId="0" xfId="0" applyNumberFormat="1" applyFont="1" applyFill="1"/>
    <xf numFmtId="3" fontId="11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14" fillId="0" borderId="0" xfId="0" applyFont="1" applyFill="1"/>
    <xf numFmtId="0" fontId="13" fillId="6" borderId="1" xfId="0" applyFont="1" applyFill="1" applyBorder="1" applyAlignment="1">
      <alignment horizontal="center"/>
    </xf>
    <xf numFmtId="0" fontId="0" fillId="6" borderId="0" xfId="0" applyFill="1"/>
    <xf numFmtId="0" fontId="1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12" fillId="7" borderId="1" xfId="0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/>
    <xf numFmtId="1" fontId="0" fillId="0" borderId="0" xfId="0" applyNumberFormat="1" applyFill="1"/>
    <xf numFmtId="14" fontId="0" fillId="0" borderId="1" xfId="0" applyNumberFormat="1" applyFont="1" applyFill="1" applyBorder="1" applyAlignment="1">
      <alignment horizontal="center"/>
    </xf>
    <xf numFmtId="14" fontId="0" fillId="0" borderId="0" xfId="0" applyNumberFormat="1" applyFont="1" applyFill="1"/>
    <xf numFmtId="14" fontId="13" fillId="0" borderId="1" xfId="0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8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68"/>
  <sheetViews>
    <sheetView workbookViewId="0">
      <pane xSplit="7" ySplit="5" topLeftCell="U251" activePane="bottomRight" state="frozen"/>
      <selection pane="topRight" activeCell="H1" sqref="H1"/>
      <selection pane="bottomLeft" activeCell="A6" sqref="A6"/>
      <selection pane="bottomRight" activeCell="U266" sqref="U266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2.5703125" style="11" bestFit="1" customWidth="1"/>
    <col min="6" max="6" width="10.14062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5" width="8.85546875" style="13" customWidth="1"/>
    <col min="16" max="16" width="9.42578125" style="13" customWidth="1"/>
    <col min="17" max="17" width="8.140625" style="13" customWidth="1"/>
    <col min="18" max="18" width="7.7109375" style="13" customWidth="1"/>
    <col min="19" max="19" width="6" style="13" hidden="1" customWidth="1"/>
    <col min="20" max="20" width="7" style="13" hidden="1" customWidth="1"/>
    <col min="21" max="21" width="8.140625" style="13" customWidth="1"/>
    <col min="22" max="22" width="9" style="13" customWidth="1"/>
    <col min="23" max="16384" width="9.140625" style="11"/>
  </cols>
  <sheetData>
    <row r="1" spans="1:24" ht="13.5" x14ac:dyDescent="0.25">
      <c r="B1" s="7"/>
      <c r="C1" s="11" t="s">
        <v>24</v>
      </c>
    </row>
    <row r="2" spans="1:24" x14ac:dyDescent="0.2">
      <c r="B2" s="18"/>
      <c r="C2" s="11" t="s">
        <v>429</v>
      </c>
    </row>
    <row r="3" spans="1:24" x14ac:dyDescent="0.2">
      <c r="G3" s="14">
        <v>30</v>
      </c>
    </row>
    <row r="4" spans="1:24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58" t="s">
        <v>4</v>
      </c>
      <c r="I4" s="158"/>
      <c r="J4" s="158"/>
      <c r="K4" s="158"/>
      <c r="L4" s="158"/>
      <c r="M4" s="158"/>
      <c r="N4" s="158"/>
      <c r="O4" s="31"/>
      <c r="P4" s="15" t="s">
        <v>5</v>
      </c>
      <c r="Q4" s="158" t="s">
        <v>7</v>
      </c>
      <c r="R4" s="158"/>
      <c r="S4" s="158"/>
      <c r="T4" s="158"/>
      <c r="U4" s="15" t="s">
        <v>5</v>
      </c>
      <c r="V4" s="15" t="s">
        <v>8</v>
      </c>
    </row>
    <row r="5" spans="1:24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69</v>
      </c>
      <c r="P5" s="15" t="s">
        <v>16</v>
      </c>
      <c r="Q5" s="15" t="s">
        <v>17</v>
      </c>
      <c r="R5" s="15" t="s">
        <v>18</v>
      </c>
      <c r="S5" s="15" t="s">
        <v>19</v>
      </c>
      <c r="T5" s="5" t="s">
        <v>31</v>
      </c>
      <c r="U5" s="15" t="s">
        <v>16</v>
      </c>
      <c r="V5" s="15" t="s">
        <v>20</v>
      </c>
      <c r="W5" s="11" t="s">
        <v>666</v>
      </c>
    </row>
    <row r="6" spans="1:24" s="25" customFormat="1" x14ac:dyDescent="0.2">
      <c r="A6" s="24" t="s">
        <v>32</v>
      </c>
      <c r="C6" s="25" t="s">
        <v>30</v>
      </c>
      <c r="D6" s="26" t="s">
        <v>50</v>
      </c>
      <c r="E6" s="26" t="s">
        <v>234</v>
      </c>
      <c r="F6" s="27">
        <v>42161</v>
      </c>
      <c r="H6" s="28">
        <f t="shared" ref="H6:H31" si="0">(5000/G$3)*G6</f>
        <v>0</v>
      </c>
      <c r="I6" s="28">
        <f t="shared" ref="I6:I32" si="1">((0)/G$3)*G6</f>
        <v>0</v>
      </c>
      <c r="J6" s="28">
        <f>(H6+I6)*5%</f>
        <v>0</v>
      </c>
      <c r="K6" s="28"/>
      <c r="L6" s="28">
        <f>((800+800)/G$3)*G6</f>
        <v>0</v>
      </c>
      <c r="M6" s="28"/>
      <c r="N6" s="28">
        <f>((3391+2279+2341)/G$3)*G6</f>
        <v>0</v>
      </c>
      <c r="O6" s="28"/>
      <c r="P6" s="28">
        <f t="shared" ref="P6:P69" si="2">SUM(H6:O6)</f>
        <v>0</v>
      </c>
      <c r="Q6" s="29">
        <f t="shared" ref="Q6:Q69" si="3">(H6+I6)*12%</f>
        <v>0</v>
      </c>
      <c r="R6" s="29">
        <f t="shared" ref="R6:R31" si="4">ROUNDUP((P6*1.75%),0)</f>
        <v>0</v>
      </c>
      <c r="S6" s="30">
        <v>0</v>
      </c>
      <c r="T6" s="28"/>
      <c r="U6" s="28">
        <f t="shared" ref="U6:U13" si="5">SUM(Q6:T6)</f>
        <v>0</v>
      </c>
      <c r="V6" s="28">
        <f t="shared" ref="V6:V31" si="6">P6-U6</f>
        <v>0</v>
      </c>
    </row>
    <row r="7" spans="1:24" s="25" customFormat="1" x14ac:dyDescent="0.2">
      <c r="A7" s="24" t="s">
        <v>36</v>
      </c>
      <c r="C7" s="25" t="s">
        <v>35</v>
      </c>
      <c r="D7" s="26" t="s">
        <v>50</v>
      </c>
      <c r="E7" s="26" t="s">
        <v>234</v>
      </c>
      <c r="F7" s="27">
        <v>42186</v>
      </c>
      <c r="H7" s="28">
        <f t="shared" si="0"/>
        <v>0</v>
      </c>
      <c r="I7" s="28">
        <f t="shared" si="1"/>
        <v>0</v>
      </c>
      <c r="J7" s="28">
        <f t="shared" ref="J7:J70" si="7">(H7+I7)*5%</f>
        <v>0</v>
      </c>
      <c r="K7" s="28"/>
      <c r="L7" s="28">
        <f>((800)/G$3)*G7</f>
        <v>0</v>
      </c>
      <c r="M7" s="28"/>
      <c r="N7" s="28">
        <f>((1950+2484+1016)/G$3)*G7</f>
        <v>0</v>
      </c>
      <c r="O7" s="28"/>
      <c r="P7" s="28">
        <f t="shared" si="2"/>
        <v>0</v>
      </c>
      <c r="Q7" s="29">
        <f t="shared" si="3"/>
        <v>0</v>
      </c>
      <c r="R7" s="29">
        <f t="shared" si="4"/>
        <v>0</v>
      </c>
      <c r="S7" s="30">
        <v>0</v>
      </c>
      <c r="T7" s="28"/>
      <c r="U7" s="28">
        <f t="shared" si="5"/>
        <v>0</v>
      </c>
      <c r="V7" s="28">
        <f t="shared" si="6"/>
        <v>0</v>
      </c>
    </row>
    <row r="8" spans="1:24" s="25" customFormat="1" x14ac:dyDescent="0.2">
      <c r="A8" s="24" t="s">
        <v>37</v>
      </c>
      <c r="B8" s="25">
        <v>1</v>
      </c>
      <c r="C8" s="25" t="s">
        <v>33</v>
      </c>
      <c r="D8" s="26" t="s">
        <v>50</v>
      </c>
      <c r="E8" s="26" t="s">
        <v>235</v>
      </c>
      <c r="F8" s="27">
        <v>42195</v>
      </c>
      <c r="G8" s="25">
        <v>30</v>
      </c>
      <c r="H8" s="28">
        <f t="shared" si="0"/>
        <v>5000</v>
      </c>
      <c r="I8" s="28">
        <f t="shared" si="1"/>
        <v>0</v>
      </c>
      <c r="J8" s="28">
        <f t="shared" si="7"/>
        <v>250</v>
      </c>
      <c r="K8" s="28"/>
      <c r="L8" s="28">
        <f>((800)/G$3)*G8</f>
        <v>800</v>
      </c>
      <c r="M8" s="28"/>
      <c r="N8" s="28">
        <f>((1950+2484+509+1883)/G$3)*G8</f>
        <v>6826</v>
      </c>
      <c r="O8" s="28">
        <v>8287</v>
      </c>
      <c r="P8" s="28">
        <f t="shared" si="2"/>
        <v>21163</v>
      </c>
      <c r="Q8" s="29">
        <f t="shared" si="3"/>
        <v>600</v>
      </c>
      <c r="R8" s="29">
        <f>ROUNDUP(((P8-O8)*1.75%),0)</f>
        <v>226</v>
      </c>
      <c r="S8" s="30">
        <v>0</v>
      </c>
      <c r="T8" s="28">
        <v>0</v>
      </c>
      <c r="U8" s="28">
        <f t="shared" si="5"/>
        <v>826</v>
      </c>
      <c r="V8" s="28">
        <f t="shared" si="6"/>
        <v>20337</v>
      </c>
    </row>
    <row r="9" spans="1:24" s="25" customFormat="1" x14ac:dyDescent="0.2">
      <c r="A9" s="24" t="s">
        <v>38</v>
      </c>
      <c r="B9" s="25">
        <f t="shared" ref="B9:B72" si="8">B8+1</f>
        <v>2</v>
      </c>
      <c r="C9" s="25" t="s">
        <v>34</v>
      </c>
      <c r="D9" s="26" t="s">
        <v>50</v>
      </c>
      <c r="E9" s="26" t="s">
        <v>232</v>
      </c>
      <c r="F9" s="27">
        <v>42205</v>
      </c>
      <c r="G9" s="25">
        <v>30</v>
      </c>
      <c r="H9" s="28">
        <f t="shared" si="0"/>
        <v>5000</v>
      </c>
      <c r="I9" s="28">
        <f t="shared" si="1"/>
        <v>0</v>
      </c>
      <c r="J9" s="28">
        <f t="shared" si="7"/>
        <v>250</v>
      </c>
      <c r="K9" s="28"/>
      <c r="L9" s="28">
        <f>((800+800)/G$3)*G9</f>
        <v>1600</v>
      </c>
      <c r="M9" s="28"/>
      <c r="N9" s="28">
        <f>((1950+2484+5816+2890)/G$3)*G9</f>
        <v>13140</v>
      </c>
      <c r="O9" s="28"/>
      <c r="P9" s="28">
        <f t="shared" si="2"/>
        <v>19990</v>
      </c>
      <c r="Q9" s="29">
        <f t="shared" si="3"/>
        <v>600</v>
      </c>
      <c r="R9" s="29">
        <f t="shared" si="4"/>
        <v>350</v>
      </c>
      <c r="S9" s="30">
        <v>0</v>
      </c>
      <c r="T9" s="28">
        <v>0</v>
      </c>
      <c r="U9" s="28">
        <f t="shared" si="5"/>
        <v>950</v>
      </c>
      <c r="V9" s="28">
        <f t="shared" si="6"/>
        <v>19040</v>
      </c>
    </row>
    <row r="10" spans="1:24" x14ac:dyDescent="0.2">
      <c r="A10" s="10" t="s">
        <v>41</v>
      </c>
      <c r="B10" s="11">
        <f t="shared" si="8"/>
        <v>3</v>
      </c>
      <c r="C10" s="11" t="s">
        <v>39</v>
      </c>
      <c r="D10" s="19" t="s">
        <v>50</v>
      </c>
      <c r="E10" s="19" t="s">
        <v>234</v>
      </c>
      <c r="F10" s="20">
        <v>42261</v>
      </c>
      <c r="G10" s="25">
        <v>30</v>
      </c>
      <c r="H10" s="13">
        <f t="shared" si="0"/>
        <v>5000</v>
      </c>
      <c r="I10" s="13">
        <f t="shared" si="1"/>
        <v>0</v>
      </c>
      <c r="J10" s="13">
        <f t="shared" si="7"/>
        <v>250</v>
      </c>
      <c r="L10" s="13">
        <f t="shared" ref="L10:L73" si="9">((800)/G$3)*G10</f>
        <v>800</v>
      </c>
      <c r="N10" s="13">
        <f>((1950+2484+1016+0)/G$3)*G10</f>
        <v>5450</v>
      </c>
      <c r="P10" s="13">
        <f t="shared" si="2"/>
        <v>11500</v>
      </c>
      <c r="Q10" s="12">
        <f t="shared" si="3"/>
        <v>600</v>
      </c>
      <c r="R10" s="12">
        <f t="shared" si="4"/>
        <v>202</v>
      </c>
      <c r="S10" s="21">
        <v>0</v>
      </c>
      <c r="T10" s="28">
        <v>0</v>
      </c>
      <c r="U10" s="13">
        <f t="shared" si="5"/>
        <v>802</v>
      </c>
      <c r="V10" s="13">
        <f t="shared" si="6"/>
        <v>10698</v>
      </c>
      <c r="W10" s="11">
        <v>10500</v>
      </c>
      <c r="X10" s="16">
        <f>W10-V10</f>
        <v>-198</v>
      </c>
    </row>
    <row r="11" spans="1:24" x14ac:dyDescent="0.2">
      <c r="A11" s="10" t="s">
        <v>43</v>
      </c>
      <c r="B11" s="11">
        <f t="shared" si="8"/>
        <v>4</v>
      </c>
      <c r="C11" s="11" t="s">
        <v>489</v>
      </c>
      <c r="D11" s="19" t="s">
        <v>50</v>
      </c>
      <c r="E11" s="19" t="s">
        <v>237</v>
      </c>
      <c r="F11" s="20">
        <v>42278</v>
      </c>
      <c r="G11" s="25">
        <v>30</v>
      </c>
      <c r="H11" s="13">
        <f t="shared" si="0"/>
        <v>5000</v>
      </c>
      <c r="I11" s="13">
        <f t="shared" si="1"/>
        <v>0</v>
      </c>
      <c r="J11" s="13">
        <f t="shared" si="7"/>
        <v>250</v>
      </c>
      <c r="L11" s="13">
        <f t="shared" si="9"/>
        <v>800</v>
      </c>
      <c r="N11" s="13">
        <f>((1950+2484+509+1069+1984+0)/G$3)*G11</f>
        <v>7996.0000000000009</v>
      </c>
      <c r="P11" s="13">
        <f t="shared" si="2"/>
        <v>14046</v>
      </c>
      <c r="Q11" s="12">
        <f t="shared" si="3"/>
        <v>600</v>
      </c>
      <c r="R11" s="12">
        <f t="shared" si="4"/>
        <v>246</v>
      </c>
      <c r="S11" s="21">
        <v>0</v>
      </c>
      <c r="T11" s="28">
        <v>0</v>
      </c>
      <c r="U11" s="13">
        <f t="shared" si="5"/>
        <v>846</v>
      </c>
      <c r="V11" s="13">
        <f t="shared" si="6"/>
        <v>13200</v>
      </c>
      <c r="W11" s="11">
        <v>13200</v>
      </c>
      <c r="X11" s="16">
        <f>W11-V11</f>
        <v>0</v>
      </c>
    </row>
    <row r="12" spans="1:24" x14ac:dyDescent="0.2">
      <c r="A12" s="10" t="s">
        <v>56</v>
      </c>
      <c r="B12" s="11">
        <f t="shared" si="8"/>
        <v>5</v>
      </c>
      <c r="C12" s="11" t="s">
        <v>46</v>
      </c>
      <c r="D12" s="11" t="s">
        <v>50</v>
      </c>
      <c r="E12" s="19" t="s">
        <v>237</v>
      </c>
      <c r="F12" s="22">
        <v>42348</v>
      </c>
      <c r="G12" s="25">
        <v>30</v>
      </c>
      <c r="H12" s="13">
        <f t="shared" si="0"/>
        <v>5000</v>
      </c>
      <c r="I12" s="13">
        <f t="shared" si="1"/>
        <v>0</v>
      </c>
      <c r="J12" s="13">
        <f t="shared" si="7"/>
        <v>250</v>
      </c>
      <c r="L12" s="13">
        <f t="shared" si="9"/>
        <v>800</v>
      </c>
      <c r="N12" s="13">
        <f>((8505+1443+1916+0)/G$3)*G12</f>
        <v>11864</v>
      </c>
      <c r="P12" s="13">
        <f t="shared" si="2"/>
        <v>17914</v>
      </c>
      <c r="Q12" s="12">
        <f t="shared" si="3"/>
        <v>600</v>
      </c>
      <c r="R12" s="12">
        <f t="shared" si="4"/>
        <v>314</v>
      </c>
      <c r="S12" s="21">
        <v>0</v>
      </c>
      <c r="T12" s="28">
        <v>0</v>
      </c>
      <c r="U12" s="13">
        <f t="shared" si="5"/>
        <v>914</v>
      </c>
      <c r="V12" s="13">
        <f t="shared" si="6"/>
        <v>17000</v>
      </c>
      <c r="W12" s="11">
        <v>17000</v>
      </c>
    </row>
    <row r="13" spans="1:24" x14ac:dyDescent="0.2">
      <c r="A13" s="10" t="s">
        <v>57</v>
      </c>
      <c r="B13" s="11">
        <f t="shared" si="8"/>
        <v>6</v>
      </c>
      <c r="C13" s="11" t="s">
        <v>47</v>
      </c>
      <c r="D13" s="11" t="s">
        <v>50</v>
      </c>
      <c r="E13" s="19" t="s">
        <v>234</v>
      </c>
      <c r="F13" s="22">
        <v>42348</v>
      </c>
      <c r="G13" s="25">
        <v>30</v>
      </c>
      <c r="H13" s="13">
        <f t="shared" si="0"/>
        <v>5000</v>
      </c>
      <c r="I13" s="13">
        <f t="shared" si="1"/>
        <v>0</v>
      </c>
      <c r="J13" s="13">
        <f t="shared" si="7"/>
        <v>250</v>
      </c>
      <c r="L13" s="13">
        <f t="shared" si="9"/>
        <v>800</v>
      </c>
      <c r="N13" s="13">
        <f>((1950+2484+1016+0)/G$3)*G13</f>
        <v>5450</v>
      </c>
      <c r="P13" s="13">
        <f t="shared" si="2"/>
        <v>11500</v>
      </c>
      <c r="Q13" s="12">
        <f t="shared" si="3"/>
        <v>600</v>
      </c>
      <c r="R13" s="12">
        <f t="shared" si="4"/>
        <v>202</v>
      </c>
      <c r="S13" s="21">
        <v>0</v>
      </c>
      <c r="T13" s="28">
        <v>0</v>
      </c>
      <c r="U13" s="13">
        <f t="shared" si="5"/>
        <v>802</v>
      </c>
      <c r="V13" s="13">
        <f t="shared" si="6"/>
        <v>10698</v>
      </c>
    </row>
    <row r="14" spans="1:24" s="25" customFormat="1" x14ac:dyDescent="0.2">
      <c r="A14" s="24" t="s">
        <v>105</v>
      </c>
      <c r="B14" s="25">
        <f t="shared" si="8"/>
        <v>7</v>
      </c>
      <c r="C14" s="25" t="s">
        <v>62</v>
      </c>
      <c r="D14" s="26" t="s">
        <v>50</v>
      </c>
      <c r="E14" s="26" t="s">
        <v>238</v>
      </c>
      <c r="F14" s="27">
        <v>42430</v>
      </c>
      <c r="G14" s="25">
        <v>30</v>
      </c>
      <c r="H14" s="28">
        <f t="shared" si="0"/>
        <v>5000</v>
      </c>
      <c r="I14" s="28">
        <f t="shared" si="1"/>
        <v>0</v>
      </c>
      <c r="J14" s="28">
        <f t="shared" si="7"/>
        <v>250</v>
      </c>
      <c r="K14" s="28"/>
      <c r="L14" s="28">
        <f t="shared" si="9"/>
        <v>800</v>
      </c>
      <c r="M14" s="28"/>
      <c r="N14" s="28">
        <f>((1950+1441+1043+1900-17)/G$3)*G14</f>
        <v>6317</v>
      </c>
      <c r="O14" s="28"/>
      <c r="P14" s="28">
        <f t="shared" si="2"/>
        <v>12367</v>
      </c>
      <c r="Q14" s="29">
        <f t="shared" si="3"/>
        <v>600</v>
      </c>
      <c r="R14" s="29">
        <f t="shared" si="4"/>
        <v>217</v>
      </c>
      <c r="S14" s="30">
        <v>0</v>
      </c>
      <c r="T14" s="28">
        <v>0</v>
      </c>
      <c r="U14" s="28">
        <f t="shared" ref="U14" si="10">SUM(Q14:T14)</f>
        <v>817</v>
      </c>
      <c r="V14" s="28">
        <f t="shared" si="6"/>
        <v>11550</v>
      </c>
      <c r="W14" s="11"/>
    </row>
    <row r="15" spans="1:24" x14ac:dyDescent="0.2">
      <c r="A15" s="10" t="s">
        <v>76</v>
      </c>
      <c r="B15" s="11">
        <f t="shared" si="8"/>
        <v>8</v>
      </c>
      <c r="C15" s="11" t="s">
        <v>63</v>
      </c>
      <c r="D15" s="19" t="s">
        <v>50</v>
      </c>
      <c r="E15" s="19" t="s">
        <v>234</v>
      </c>
      <c r="F15" s="20">
        <v>42461</v>
      </c>
      <c r="G15" s="25">
        <v>30</v>
      </c>
      <c r="H15" s="13">
        <f t="shared" si="0"/>
        <v>5000</v>
      </c>
      <c r="I15" s="13">
        <f t="shared" si="1"/>
        <v>0</v>
      </c>
      <c r="J15" s="13">
        <f t="shared" si="7"/>
        <v>250</v>
      </c>
      <c r="L15" s="13">
        <f t="shared" si="9"/>
        <v>800</v>
      </c>
      <c r="N15" s="13">
        <f>((1950+1441+1043+814+0)/G$3)*G15</f>
        <v>5248</v>
      </c>
      <c r="P15" s="13">
        <f t="shared" si="2"/>
        <v>11298</v>
      </c>
      <c r="Q15" s="12">
        <f t="shared" si="3"/>
        <v>600</v>
      </c>
      <c r="R15" s="12">
        <f t="shared" si="4"/>
        <v>198</v>
      </c>
      <c r="S15" s="21">
        <v>0</v>
      </c>
      <c r="T15" s="28">
        <v>0</v>
      </c>
      <c r="U15" s="13">
        <f t="shared" ref="U15:U20" si="11">SUM(Q15:T15)</f>
        <v>798</v>
      </c>
      <c r="V15" s="13">
        <f t="shared" si="6"/>
        <v>10500</v>
      </c>
      <c r="W15" s="11">
        <v>10500</v>
      </c>
      <c r="X15" s="16">
        <f>W15-V15</f>
        <v>0</v>
      </c>
    </row>
    <row r="16" spans="1:24" s="25" customFormat="1" x14ac:dyDescent="0.2">
      <c r="A16" s="24" t="s">
        <v>77</v>
      </c>
      <c r="B16" s="25">
        <f t="shared" si="8"/>
        <v>9</v>
      </c>
      <c r="C16" s="25" t="s">
        <v>64</v>
      </c>
      <c r="D16" s="26" t="s">
        <v>50</v>
      </c>
      <c r="E16" s="26" t="s">
        <v>239</v>
      </c>
      <c r="F16" s="27">
        <v>42461</v>
      </c>
      <c r="G16" s="25">
        <v>30</v>
      </c>
      <c r="H16" s="28">
        <f t="shared" si="0"/>
        <v>5000</v>
      </c>
      <c r="I16" s="28">
        <f t="shared" si="1"/>
        <v>0</v>
      </c>
      <c r="J16" s="28">
        <f t="shared" si="7"/>
        <v>250</v>
      </c>
      <c r="K16" s="28"/>
      <c r="L16" s="28">
        <f t="shared" si="9"/>
        <v>800</v>
      </c>
      <c r="M16" s="28"/>
      <c r="N16" s="28">
        <f>((1950+1441+1552+1934)/G$3)*G16</f>
        <v>6877</v>
      </c>
      <c r="O16" s="28"/>
      <c r="P16" s="28">
        <f t="shared" si="2"/>
        <v>12927</v>
      </c>
      <c r="Q16" s="29">
        <f t="shared" si="3"/>
        <v>600</v>
      </c>
      <c r="R16" s="29">
        <f t="shared" si="4"/>
        <v>227</v>
      </c>
      <c r="S16" s="30">
        <v>0</v>
      </c>
      <c r="T16" s="28">
        <v>0</v>
      </c>
      <c r="U16" s="28">
        <f t="shared" si="11"/>
        <v>827</v>
      </c>
      <c r="V16" s="28">
        <f t="shared" si="6"/>
        <v>12100</v>
      </c>
      <c r="W16" s="11"/>
    </row>
    <row r="17" spans="1:24" s="25" customFormat="1" x14ac:dyDescent="0.2">
      <c r="A17" s="24" t="s">
        <v>78</v>
      </c>
      <c r="B17" s="25">
        <f t="shared" si="8"/>
        <v>10</v>
      </c>
      <c r="C17" s="25" t="s">
        <v>490</v>
      </c>
      <c r="D17" s="26" t="s">
        <v>50</v>
      </c>
      <c r="E17" s="26" t="s">
        <v>239</v>
      </c>
      <c r="F17" s="27">
        <v>42461</v>
      </c>
      <c r="G17" s="25">
        <v>30</v>
      </c>
      <c r="H17" s="28">
        <f t="shared" si="0"/>
        <v>5000</v>
      </c>
      <c r="I17" s="28">
        <f t="shared" si="1"/>
        <v>0</v>
      </c>
      <c r="J17" s="28">
        <f t="shared" si="7"/>
        <v>250</v>
      </c>
      <c r="K17" s="28"/>
      <c r="L17" s="28">
        <f t="shared" si="9"/>
        <v>800</v>
      </c>
      <c r="M17" s="28"/>
      <c r="N17" s="28">
        <f>((1950+1441+1552+1374)/G$3)*G17</f>
        <v>6317</v>
      </c>
      <c r="O17" s="28"/>
      <c r="P17" s="28">
        <f t="shared" si="2"/>
        <v>12367</v>
      </c>
      <c r="Q17" s="29">
        <f t="shared" si="3"/>
        <v>600</v>
      </c>
      <c r="R17" s="29">
        <f t="shared" si="4"/>
        <v>217</v>
      </c>
      <c r="S17" s="30">
        <v>0</v>
      </c>
      <c r="T17" s="28">
        <v>0</v>
      </c>
      <c r="U17" s="28">
        <f t="shared" si="11"/>
        <v>817</v>
      </c>
      <c r="V17" s="28">
        <f t="shared" si="6"/>
        <v>11550</v>
      </c>
      <c r="W17" s="11"/>
    </row>
    <row r="18" spans="1:24" s="25" customFormat="1" x14ac:dyDescent="0.2">
      <c r="A18" s="24" t="s">
        <v>79</v>
      </c>
      <c r="B18" s="25">
        <f t="shared" si="8"/>
        <v>11</v>
      </c>
      <c r="C18" s="25" t="s">
        <v>65</v>
      </c>
      <c r="D18" s="26" t="s">
        <v>50</v>
      </c>
      <c r="E18" s="26" t="s">
        <v>240</v>
      </c>
      <c r="F18" s="27">
        <v>42461</v>
      </c>
      <c r="G18" s="25">
        <v>30</v>
      </c>
      <c r="H18" s="28">
        <f t="shared" si="0"/>
        <v>5000</v>
      </c>
      <c r="I18" s="28">
        <f t="shared" si="1"/>
        <v>0</v>
      </c>
      <c r="J18" s="28">
        <f t="shared" si="7"/>
        <v>250</v>
      </c>
      <c r="K18" s="28"/>
      <c r="L18" s="28">
        <f t="shared" si="9"/>
        <v>800</v>
      </c>
      <c r="M18" s="28"/>
      <c r="N18" s="28">
        <f>((1950+1441+2000)/G$3)*G18</f>
        <v>5391</v>
      </c>
      <c r="O18" s="28"/>
      <c r="P18" s="28">
        <f t="shared" si="2"/>
        <v>11441</v>
      </c>
      <c r="Q18" s="29">
        <f t="shared" si="3"/>
        <v>600</v>
      </c>
      <c r="R18" s="29">
        <f t="shared" si="4"/>
        <v>201</v>
      </c>
      <c r="S18" s="30">
        <v>0</v>
      </c>
      <c r="T18" s="28">
        <v>0</v>
      </c>
      <c r="U18" s="28">
        <f t="shared" si="11"/>
        <v>801</v>
      </c>
      <c r="V18" s="28">
        <f t="shared" si="6"/>
        <v>10640</v>
      </c>
      <c r="W18" s="11"/>
    </row>
    <row r="19" spans="1:24" s="25" customFormat="1" x14ac:dyDescent="0.2">
      <c r="A19" s="24" t="s">
        <v>80</v>
      </c>
      <c r="B19" s="25">
        <f t="shared" si="8"/>
        <v>12</v>
      </c>
      <c r="C19" s="25" t="s">
        <v>485</v>
      </c>
      <c r="D19" s="26" t="s">
        <v>50</v>
      </c>
      <c r="E19" s="26" t="s">
        <v>484</v>
      </c>
      <c r="F19" s="27">
        <v>42461</v>
      </c>
      <c r="G19" s="25">
        <v>30</v>
      </c>
      <c r="H19" s="28">
        <f t="shared" si="0"/>
        <v>5000</v>
      </c>
      <c r="I19" s="28">
        <f t="shared" si="1"/>
        <v>0</v>
      </c>
      <c r="J19" s="28">
        <f t="shared" si="7"/>
        <v>250</v>
      </c>
      <c r="K19" s="28"/>
      <c r="L19" s="28">
        <f t="shared" si="9"/>
        <v>800</v>
      </c>
      <c r="M19" s="28"/>
      <c r="N19" s="28">
        <f>((1950+1441+1806)/G$3)*G19</f>
        <v>5197</v>
      </c>
      <c r="O19" s="28"/>
      <c r="P19" s="28">
        <f t="shared" si="2"/>
        <v>11247</v>
      </c>
      <c r="Q19" s="29">
        <f t="shared" si="3"/>
        <v>600</v>
      </c>
      <c r="R19" s="29">
        <f t="shared" si="4"/>
        <v>197</v>
      </c>
      <c r="S19" s="30">
        <v>0</v>
      </c>
      <c r="T19" s="28">
        <v>0</v>
      </c>
      <c r="U19" s="28">
        <f t="shared" si="11"/>
        <v>797</v>
      </c>
      <c r="V19" s="28">
        <f t="shared" si="6"/>
        <v>10450</v>
      </c>
      <c r="W19" s="11"/>
    </row>
    <row r="20" spans="1:24" s="25" customFormat="1" x14ac:dyDescent="0.2">
      <c r="A20" s="24" t="s">
        <v>81</v>
      </c>
      <c r="B20" s="25">
        <f t="shared" si="8"/>
        <v>13</v>
      </c>
      <c r="C20" s="25" t="s">
        <v>66</v>
      </c>
      <c r="D20" s="26" t="s">
        <v>50</v>
      </c>
      <c r="E20" s="26" t="s">
        <v>484</v>
      </c>
      <c r="F20" s="27">
        <v>42461</v>
      </c>
      <c r="G20" s="25">
        <v>30</v>
      </c>
      <c r="H20" s="28">
        <f t="shared" si="0"/>
        <v>5000</v>
      </c>
      <c r="I20" s="28">
        <f t="shared" si="1"/>
        <v>0</v>
      </c>
      <c r="J20" s="28">
        <f t="shared" si="7"/>
        <v>250</v>
      </c>
      <c r="K20" s="28"/>
      <c r="L20" s="28">
        <f t="shared" si="9"/>
        <v>800</v>
      </c>
      <c r="M20" s="28"/>
      <c r="N20" s="28">
        <f>((1950+1441+1806)/G$3)*G20</f>
        <v>5197</v>
      </c>
      <c r="O20" s="28"/>
      <c r="P20" s="28">
        <f t="shared" si="2"/>
        <v>11247</v>
      </c>
      <c r="Q20" s="29">
        <f t="shared" si="3"/>
        <v>600</v>
      </c>
      <c r="R20" s="29">
        <f t="shared" si="4"/>
        <v>197</v>
      </c>
      <c r="S20" s="30">
        <v>0</v>
      </c>
      <c r="T20" s="28">
        <v>0</v>
      </c>
      <c r="U20" s="28">
        <f t="shared" si="11"/>
        <v>797</v>
      </c>
      <c r="V20" s="28">
        <f t="shared" si="6"/>
        <v>10450</v>
      </c>
      <c r="W20" s="11"/>
    </row>
    <row r="21" spans="1:24" s="25" customFormat="1" x14ac:dyDescent="0.2">
      <c r="A21" s="24" t="s">
        <v>89</v>
      </c>
      <c r="B21" s="25">
        <f t="shared" si="8"/>
        <v>14</v>
      </c>
      <c r="C21" s="25" t="s">
        <v>74</v>
      </c>
      <c r="D21" s="26" t="s">
        <v>50</v>
      </c>
      <c r="E21" s="26" t="s">
        <v>240</v>
      </c>
      <c r="F21" s="27">
        <v>42492</v>
      </c>
      <c r="G21" s="25">
        <v>30</v>
      </c>
      <c r="H21" s="28">
        <f t="shared" si="0"/>
        <v>5000</v>
      </c>
      <c r="I21" s="28">
        <f t="shared" si="1"/>
        <v>0</v>
      </c>
      <c r="J21" s="28">
        <f t="shared" si="7"/>
        <v>250</v>
      </c>
      <c r="K21" s="28"/>
      <c r="L21" s="28">
        <f t="shared" si="9"/>
        <v>800</v>
      </c>
      <c r="M21" s="28"/>
      <c r="N21" s="28">
        <f>((1950+1441+3588+3328)/G$3)*G21</f>
        <v>10307</v>
      </c>
      <c r="O21" s="28"/>
      <c r="P21" s="28">
        <f t="shared" si="2"/>
        <v>16357</v>
      </c>
      <c r="Q21" s="29">
        <f t="shared" si="3"/>
        <v>600</v>
      </c>
      <c r="R21" s="29">
        <f t="shared" si="4"/>
        <v>287</v>
      </c>
      <c r="S21" s="30">
        <v>0</v>
      </c>
      <c r="T21" s="28">
        <v>0</v>
      </c>
      <c r="U21" s="28">
        <f t="shared" ref="U21:U22" si="12">SUM(Q21:T21)</f>
        <v>887</v>
      </c>
      <c r="V21" s="28">
        <f t="shared" si="6"/>
        <v>15470</v>
      </c>
      <c r="W21" s="11"/>
    </row>
    <row r="22" spans="1:24" s="25" customFormat="1" x14ac:dyDescent="0.2">
      <c r="A22" s="24" t="s">
        <v>90</v>
      </c>
      <c r="B22" s="25">
        <f t="shared" si="8"/>
        <v>15</v>
      </c>
      <c r="C22" s="25" t="s">
        <v>233</v>
      </c>
      <c r="D22" s="26" t="s">
        <v>50</v>
      </c>
      <c r="E22" s="26" t="s">
        <v>240</v>
      </c>
      <c r="F22" s="27">
        <v>42492</v>
      </c>
      <c r="G22" s="25">
        <v>30</v>
      </c>
      <c r="H22" s="28">
        <f t="shared" si="0"/>
        <v>5000</v>
      </c>
      <c r="I22" s="28">
        <f t="shared" si="1"/>
        <v>0</v>
      </c>
      <c r="J22" s="28">
        <f t="shared" si="7"/>
        <v>250</v>
      </c>
      <c r="K22" s="28"/>
      <c r="L22" s="28">
        <f t="shared" si="9"/>
        <v>800</v>
      </c>
      <c r="M22" s="28"/>
      <c r="N22" s="28">
        <f>((1950+1441+3588+3328)/G$3)*G22</f>
        <v>10307</v>
      </c>
      <c r="O22" s="28"/>
      <c r="P22" s="28">
        <f t="shared" si="2"/>
        <v>16357</v>
      </c>
      <c r="Q22" s="29">
        <f t="shared" si="3"/>
        <v>600</v>
      </c>
      <c r="R22" s="29">
        <f t="shared" si="4"/>
        <v>287</v>
      </c>
      <c r="S22" s="30">
        <v>0</v>
      </c>
      <c r="T22" s="28">
        <v>0</v>
      </c>
      <c r="U22" s="28">
        <f t="shared" si="12"/>
        <v>887</v>
      </c>
      <c r="V22" s="28">
        <f t="shared" si="6"/>
        <v>15470</v>
      </c>
      <c r="W22" s="11"/>
    </row>
    <row r="23" spans="1:24" s="25" customFormat="1" x14ac:dyDescent="0.2">
      <c r="A23" s="24" t="s">
        <v>91</v>
      </c>
      <c r="C23" s="25" t="s">
        <v>71</v>
      </c>
      <c r="D23" s="26" t="s">
        <v>50</v>
      </c>
      <c r="E23" s="26" t="s">
        <v>232</v>
      </c>
      <c r="F23" s="27">
        <v>42491</v>
      </c>
      <c r="G23" s="25">
        <v>30</v>
      </c>
      <c r="H23" s="28">
        <f t="shared" si="0"/>
        <v>5000</v>
      </c>
      <c r="I23" s="28">
        <f t="shared" si="1"/>
        <v>0</v>
      </c>
      <c r="J23" s="28">
        <f t="shared" si="7"/>
        <v>250</v>
      </c>
      <c r="K23" s="28"/>
      <c r="L23" s="28">
        <f t="shared" si="9"/>
        <v>800</v>
      </c>
      <c r="M23" s="28"/>
      <c r="N23" s="28">
        <f>((1950+1441+1806)/G$3)*G23</f>
        <v>5197</v>
      </c>
      <c r="O23" s="28"/>
      <c r="P23" s="28">
        <f t="shared" si="2"/>
        <v>11247</v>
      </c>
      <c r="Q23" s="29">
        <f t="shared" si="3"/>
        <v>600</v>
      </c>
      <c r="R23" s="29">
        <f t="shared" si="4"/>
        <v>197</v>
      </c>
      <c r="S23" s="30">
        <v>0</v>
      </c>
      <c r="T23" s="28">
        <v>0</v>
      </c>
      <c r="U23" s="28">
        <f t="shared" ref="U23:U28" si="13">SUM(Q23:T23)</f>
        <v>797</v>
      </c>
      <c r="V23" s="28">
        <f t="shared" si="6"/>
        <v>10450</v>
      </c>
      <c r="W23" s="11"/>
    </row>
    <row r="24" spans="1:24" s="25" customFormat="1" x14ac:dyDescent="0.2">
      <c r="A24" s="24" t="s">
        <v>92</v>
      </c>
      <c r="C24" s="25" t="s">
        <v>72</v>
      </c>
      <c r="D24" s="26" t="s">
        <v>50</v>
      </c>
      <c r="E24" s="26" t="s">
        <v>236</v>
      </c>
      <c r="F24" s="27">
        <v>42491</v>
      </c>
      <c r="G24" s="25">
        <v>30</v>
      </c>
      <c r="H24" s="28">
        <f t="shared" si="0"/>
        <v>5000</v>
      </c>
      <c r="I24" s="28">
        <f t="shared" si="1"/>
        <v>0</v>
      </c>
      <c r="J24" s="28">
        <f t="shared" si="7"/>
        <v>250</v>
      </c>
      <c r="K24" s="28"/>
      <c r="L24" s="28">
        <f t="shared" si="9"/>
        <v>800</v>
      </c>
      <c r="M24" s="28"/>
      <c r="N24" s="28">
        <f>((1950+1441+1806)/G$3)*G24</f>
        <v>5197</v>
      </c>
      <c r="O24" s="28"/>
      <c r="P24" s="28">
        <f t="shared" si="2"/>
        <v>11247</v>
      </c>
      <c r="Q24" s="29">
        <f t="shared" si="3"/>
        <v>600</v>
      </c>
      <c r="R24" s="29">
        <f t="shared" si="4"/>
        <v>197</v>
      </c>
      <c r="S24" s="30">
        <v>0</v>
      </c>
      <c r="T24" s="28">
        <v>0</v>
      </c>
      <c r="U24" s="28">
        <f t="shared" si="13"/>
        <v>797</v>
      </c>
      <c r="V24" s="28">
        <f t="shared" si="6"/>
        <v>10450</v>
      </c>
      <c r="W24" s="11"/>
    </row>
    <row r="25" spans="1:24" x14ac:dyDescent="0.2">
      <c r="A25" s="10" t="s">
        <v>332</v>
      </c>
      <c r="B25" s="11">
        <v>16</v>
      </c>
      <c r="C25" s="11" t="s">
        <v>73</v>
      </c>
      <c r="D25" s="19" t="s">
        <v>50</v>
      </c>
      <c r="E25" s="19" t="s">
        <v>234</v>
      </c>
      <c r="F25" s="20">
        <v>42494</v>
      </c>
      <c r="G25" s="25">
        <v>30</v>
      </c>
      <c r="H25" s="13">
        <f t="shared" si="0"/>
        <v>5000</v>
      </c>
      <c r="I25" s="13">
        <f t="shared" si="1"/>
        <v>0</v>
      </c>
      <c r="J25" s="13">
        <f t="shared" si="7"/>
        <v>250</v>
      </c>
      <c r="L25" s="13">
        <f t="shared" si="9"/>
        <v>800</v>
      </c>
      <c r="N25" s="13">
        <f>((1950+1441+1043+814+0)/G$3)*G25</f>
        <v>5248</v>
      </c>
      <c r="P25" s="13">
        <f t="shared" si="2"/>
        <v>11298</v>
      </c>
      <c r="Q25" s="12">
        <f t="shared" si="3"/>
        <v>600</v>
      </c>
      <c r="R25" s="12">
        <f t="shared" si="4"/>
        <v>198</v>
      </c>
      <c r="S25" s="21">
        <v>0</v>
      </c>
      <c r="T25" s="28">
        <v>0</v>
      </c>
      <c r="U25" s="13">
        <f t="shared" si="13"/>
        <v>798</v>
      </c>
      <c r="V25" s="13">
        <f t="shared" si="6"/>
        <v>10500</v>
      </c>
      <c r="W25" s="11">
        <v>10500</v>
      </c>
      <c r="X25" s="16">
        <f>W25-V25</f>
        <v>0</v>
      </c>
    </row>
    <row r="26" spans="1:24" s="25" customFormat="1" x14ac:dyDescent="0.2">
      <c r="A26" s="24" t="s">
        <v>101</v>
      </c>
      <c r="B26" s="25">
        <f t="shared" si="8"/>
        <v>17</v>
      </c>
      <c r="C26" s="25" t="s">
        <v>85</v>
      </c>
      <c r="D26" s="26" t="s">
        <v>50</v>
      </c>
      <c r="E26" s="26" t="s">
        <v>241</v>
      </c>
      <c r="F26" s="27">
        <v>42524</v>
      </c>
      <c r="G26" s="25">
        <v>30</v>
      </c>
      <c r="H26" s="28">
        <f t="shared" si="0"/>
        <v>5000</v>
      </c>
      <c r="I26" s="28">
        <f t="shared" si="1"/>
        <v>0</v>
      </c>
      <c r="J26" s="28">
        <f t="shared" si="7"/>
        <v>250</v>
      </c>
      <c r="K26" s="28"/>
      <c r="L26" s="28">
        <f t="shared" si="9"/>
        <v>800</v>
      </c>
      <c r="M26" s="28"/>
      <c r="N26" s="28">
        <f>((1950+1441+2290)/G$3)*G26</f>
        <v>5681</v>
      </c>
      <c r="O26" s="28"/>
      <c r="P26" s="28">
        <f t="shared" si="2"/>
        <v>11731</v>
      </c>
      <c r="Q26" s="29">
        <f t="shared" si="3"/>
        <v>600</v>
      </c>
      <c r="R26" s="29">
        <f t="shared" si="4"/>
        <v>206</v>
      </c>
      <c r="S26" s="30">
        <v>0</v>
      </c>
      <c r="T26" s="28">
        <v>0</v>
      </c>
      <c r="U26" s="28">
        <f t="shared" si="13"/>
        <v>806</v>
      </c>
      <c r="V26" s="28">
        <f t="shared" si="6"/>
        <v>10925</v>
      </c>
      <c r="W26" s="11"/>
    </row>
    <row r="27" spans="1:24" s="25" customFormat="1" x14ac:dyDescent="0.2">
      <c r="A27" s="24" t="s">
        <v>102</v>
      </c>
      <c r="B27" s="25">
        <f t="shared" si="8"/>
        <v>18</v>
      </c>
      <c r="C27" s="25" t="s">
        <v>86</v>
      </c>
      <c r="D27" s="26" t="s">
        <v>50</v>
      </c>
      <c r="E27" s="26" t="s">
        <v>242</v>
      </c>
      <c r="F27" s="27">
        <v>42530</v>
      </c>
      <c r="G27" s="25">
        <v>30</v>
      </c>
      <c r="H27" s="28">
        <f t="shared" si="0"/>
        <v>5000</v>
      </c>
      <c r="I27" s="28">
        <f t="shared" si="1"/>
        <v>0</v>
      </c>
      <c r="J27" s="28">
        <f t="shared" si="7"/>
        <v>250</v>
      </c>
      <c r="K27" s="28"/>
      <c r="L27" s="28">
        <f t="shared" si="9"/>
        <v>800</v>
      </c>
      <c r="M27" s="28"/>
      <c r="N27" s="28">
        <f>((1950+1441+1806)/G$3)*G27</f>
        <v>5197</v>
      </c>
      <c r="O27" s="28"/>
      <c r="P27" s="28">
        <f t="shared" si="2"/>
        <v>11247</v>
      </c>
      <c r="Q27" s="29">
        <f t="shared" si="3"/>
        <v>600</v>
      </c>
      <c r="R27" s="29">
        <f t="shared" si="4"/>
        <v>197</v>
      </c>
      <c r="S27" s="30">
        <v>0</v>
      </c>
      <c r="T27" s="28">
        <v>0</v>
      </c>
      <c r="U27" s="28">
        <f t="shared" si="13"/>
        <v>797</v>
      </c>
      <c r="V27" s="28">
        <f t="shared" si="6"/>
        <v>10450</v>
      </c>
      <c r="W27" s="11"/>
    </row>
    <row r="28" spans="1:24" x14ac:dyDescent="0.2">
      <c r="A28" s="10" t="s">
        <v>103</v>
      </c>
      <c r="B28" s="11">
        <f t="shared" si="8"/>
        <v>19</v>
      </c>
      <c r="C28" s="11" t="s">
        <v>40</v>
      </c>
      <c r="D28" s="19" t="s">
        <v>50</v>
      </c>
      <c r="E28" s="19" t="s">
        <v>234</v>
      </c>
      <c r="F28" s="20">
        <v>42534</v>
      </c>
      <c r="G28" s="25">
        <v>30</v>
      </c>
      <c r="H28" s="13">
        <f t="shared" si="0"/>
        <v>5000</v>
      </c>
      <c r="I28" s="13">
        <f t="shared" si="1"/>
        <v>0</v>
      </c>
      <c r="J28" s="13">
        <f t="shared" si="7"/>
        <v>250</v>
      </c>
      <c r="L28" s="13">
        <f t="shared" si="9"/>
        <v>800</v>
      </c>
      <c r="N28" s="13">
        <f>((1950+2484+1016+0)/G$3)*G28</f>
        <v>5450</v>
      </c>
      <c r="P28" s="13">
        <f t="shared" si="2"/>
        <v>11500</v>
      </c>
      <c r="Q28" s="12">
        <f t="shared" si="3"/>
        <v>600</v>
      </c>
      <c r="R28" s="12">
        <f t="shared" si="4"/>
        <v>202</v>
      </c>
      <c r="S28" s="21">
        <v>0</v>
      </c>
      <c r="T28" s="28">
        <v>0</v>
      </c>
      <c r="U28" s="13">
        <f t="shared" si="13"/>
        <v>802</v>
      </c>
      <c r="V28" s="13">
        <f t="shared" si="6"/>
        <v>10698</v>
      </c>
      <c r="W28" s="11">
        <v>10500</v>
      </c>
      <c r="X28" s="16">
        <f t="shared" ref="X28:X52" si="14">W28-V28</f>
        <v>-198</v>
      </c>
    </row>
    <row r="29" spans="1:24" x14ac:dyDescent="0.2">
      <c r="A29" s="10" t="s">
        <v>117</v>
      </c>
      <c r="B29" s="11">
        <f t="shared" si="8"/>
        <v>20</v>
      </c>
      <c r="C29" s="11" t="s">
        <v>113</v>
      </c>
      <c r="D29" s="19" t="s">
        <v>50</v>
      </c>
      <c r="E29" s="19" t="s">
        <v>234</v>
      </c>
      <c r="F29" s="20">
        <v>42583</v>
      </c>
      <c r="G29" s="25">
        <v>30</v>
      </c>
      <c r="H29" s="13">
        <f t="shared" si="0"/>
        <v>5000</v>
      </c>
      <c r="I29" s="13">
        <f t="shared" si="1"/>
        <v>0</v>
      </c>
      <c r="J29" s="13">
        <f t="shared" si="7"/>
        <v>250</v>
      </c>
      <c r="L29" s="13">
        <f t="shared" si="9"/>
        <v>800</v>
      </c>
      <c r="N29" s="13">
        <f>((1950+1441+1043+814+0)/G$3)*G29</f>
        <v>5248</v>
      </c>
      <c r="P29" s="13">
        <f t="shared" si="2"/>
        <v>11298</v>
      </c>
      <c r="Q29" s="12">
        <f t="shared" si="3"/>
        <v>600</v>
      </c>
      <c r="R29" s="12">
        <f t="shared" si="4"/>
        <v>198</v>
      </c>
      <c r="S29" s="21">
        <v>0</v>
      </c>
      <c r="T29" s="28">
        <v>0</v>
      </c>
      <c r="U29" s="13">
        <f t="shared" ref="U29:U31" si="15">SUM(Q29:T29)</f>
        <v>798</v>
      </c>
      <c r="V29" s="13">
        <f t="shared" si="6"/>
        <v>10500</v>
      </c>
      <c r="W29" s="11">
        <v>10500</v>
      </c>
      <c r="X29" s="16">
        <f t="shared" si="14"/>
        <v>0</v>
      </c>
    </row>
    <row r="30" spans="1:24" x14ac:dyDescent="0.2">
      <c r="A30" s="10" t="s">
        <v>118</v>
      </c>
      <c r="B30" s="11">
        <f t="shared" si="8"/>
        <v>21</v>
      </c>
      <c r="C30" s="11" t="s">
        <v>114</v>
      </c>
      <c r="D30" s="19" t="s">
        <v>50</v>
      </c>
      <c r="E30" s="19" t="s">
        <v>484</v>
      </c>
      <c r="F30" s="20">
        <v>42583</v>
      </c>
      <c r="G30" s="25">
        <v>30</v>
      </c>
      <c r="H30" s="13">
        <f t="shared" si="0"/>
        <v>5000</v>
      </c>
      <c r="I30" s="13">
        <f t="shared" si="1"/>
        <v>0</v>
      </c>
      <c r="J30" s="13">
        <f t="shared" si="7"/>
        <v>250</v>
      </c>
      <c r="L30" s="13">
        <f t="shared" si="9"/>
        <v>800</v>
      </c>
      <c r="N30" s="13">
        <f>((1950+1441+839)/G$3)*G30</f>
        <v>4230</v>
      </c>
      <c r="P30" s="13">
        <f t="shared" si="2"/>
        <v>10280</v>
      </c>
      <c r="Q30" s="12">
        <f t="shared" si="3"/>
        <v>600</v>
      </c>
      <c r="R30" s="12">
        <f t="shared" si="4"/>
        <v>180</v>
      </c>
      <c r="S30" s="21">
        <v>0</v>
      </c>
      <c r="T30" s="28">
        <v>0</v>
      </c>
      <c r="U30" s="13">
        <f t="shared" si="15"/>
        <v>780</v>
      </c>
      <c r="V30" s="13">
        <f t="shared" si="6"/>
        <v>9500</v>
      </c>
      <c r="W30" s="11">
        <v>9500</v>
      </c>
      <c r="X30" s="16">
        <f t="shared" si="14"/>
        <v>0</v>
      </c>
    </row>
    <row r="31" spans="1:24" x14ac:dyDescent="0.2">
      <c r="A31" s="10" t="s">
        <v>119</v>
      </c>
      <c r="B31" s="11">
        <f t="shared" si="8"/>
        <v>22</v>
      </c>
      <c r="C31" s="11" t="s">
        <v>480</v>
      </c>
      <c r="D31" s="19" t="s">
        <v>50</v>
      </c>
      <c r="E31" s="19" t="s">
        <v>234</v>
      </c>
      <c r="F31" s="20">
        <v>42583</v>
      </c>
      <c r="G31" s="25">
        <v>30</v>
      </c>
      <c r="H31" s="13">
        <f t="shared" si="0"/>
        <v>5000</v>
      </c>
      <c r="I31" s="13">
        <f t="shared" si="1"/>
        <v>0</v>
      </c>
      <c r="J31" s="13">
        <f t="shared" si="7"/>
        <v>250</v>
      </c>
      <c r="L31" s="13">
        <f t="shared" si="9"/>
        <v>800</v>
      </c>
      <c r="N31" s="13">
        <f>((1950+1441+1043+814+0)/G$3)*G31</f>
        <v>5248</v>
      </c>
      <c r="P31" s="13">
        <f t="shared" si="2"/>
        <v>11298</v>
      </c>
      <c r="Q31" s="12">
        <f t="shared" si="3"/>
        <v>600</v>
      </c>
      <c r="R31" s="12">
        <f t="shared" si="4"/>
        <v>198</v>
      </c>
      <c r="S31" s="21">
        <v>0</v>
      </c>
      <c r="T31" s="28">
        <v>0</v>
      </c>
      <c r="U31" s="13">
        <f t="shared" si="15"/>
        <v>798</v>
      </c>
      <c r="V31" s="13">
        <f t="shared" si="6"/>
        <v>10500</v>
      </c>
      <c r="W31" s="11">
        <v>10500</v>
      </c>
      <c r="X31" s="16">
        <f t="shared" si="14"/>
        <v>0</v>
      </c>
    </row>
    <row r="32" spans="1:24" x14ac:dyDescent="0.2">
      <c r="A32" s="10" t="s">
        <v>140</v>
      </c>
      <c r="B32" s="11">
        <f t="shared" si="8"/>
        <v>23</v>
      </c>
      <c r="C32" s="11" t="s">
        <v>127</v>
      </c>
      <c r="D32" s="19" t="s">
        <v>50</v>
      </c>
      <c r="E32" s="19" t="s">
        <v>484</v>
      </c>
      <c r="F32" s="20">
        <v>42644</v>
      </c>
      <c r="G32" s="25">
        <v>30</v>
      </c>
      <c r="H32" s="13">
        <f t="shared" ref="H32:H95" si="16">(5000/G$3)*G32</f>
        <v>5000</v>
      </c>
      <c r="I32" s="13">
        <f t="shared" si="1"/>
        <v>0</v>
      </c>
      <c r="J32" s="13">
        <f t="shared" si="7"/>
        <v>250</v>
      </c>
      <c r="L32" s="13">
        <f t="shared" si="9"/>
        <v>800</v>
      </c>
      <c r="N32" s="13">
        <f>((1950+1441+839+0)/G$3)*G32</f>
        <v>4230</v>
      </c>
      <c r="P32" s="13">
        <f t="shared" si="2"/>
        <v>10280</v>
      </c>
      <c r="Q32" s="12">
        <f t="shared" si="3"/>
        <v>600</v>
      </c>
      <c r="R32" s="12">
        <f t="shared" ref="R32:R95" si="17">ROUNDUP((P32*1.75%),0)</f>
        <v>180</v>
      </c>
      <c r="S32" s="21">
        <v>0</v>
      </c>
      <c r="T32" s="28">
        <v>0</v>
      </c>
      <c r="U32" s="13">
        <f t="shared" ref="U32:U34" si="18">SUM(Q32:T32)</f>
        <v>780</v>
      </c>
      <c r="V32" s="13">
        <f t="shared" ref="V32:V95" si="19">P32-U32</f>
        <v>9500</v>
      </c>
      <c r="W32" s="11">
        <v>9500</v>
      </c>
      <c r="X32" s="16">
        <f t="shared" si="14"/>
        <v>0</v>
      </c>
    </row>
    <row r="33" spans="1:24" x14ac:dyDescent="0.2">
      <c r="A33" s="10" t="s">
        <v>141</v>
      </c>
      <c r="B33" s="11">
        <f t="shared" si="8"/>
        <v>24</v>
      </c>
      <c r="C33" s="11" t="s">
        <v>128</v>
      </c>
      <c r="D33" s="19" t="s">
        <v>50</v>
      </c>
      <c r="E33" s="19" t="s">
        <v>484</v>
      </c>
      <c r="F33" s="20">
        <v>42646</v>
      </c>
      <c r="G33" s="25">
        <v>30</v>
      </c>
      <c r="H33" s="13">
        <f t="shared" si="16"/>
        <v>5000</v>
      </c>
      <c r="I33" s="13">
        <f t="shared" ref="I33:I96" si="20">((0)/G$3)*G33</f>
        <v>0</v>
      </c>
      <c r="J33" s="13">
        <f t="shared" si="7"/>
        <v>250</v>
      </c>
      <c r="L33" s="13">
        <f t="shared" si="9"/>
        <v>800</v>
      </c>
      <c r="N33" s="13">
        <f>((1950+1441+839+0)/G$3)*G33</f>
        <v>4230</v>
      </c>
      <c r="P33" s="13">
        <f t="shared" si="2"/>
        <v>10280</v>
      </c>
      <c r="Q33" s="12">
        <f t="shared" si="3"/>
        <v>600</v>
      </c>
      <c r="R33" s="12">
        <f t="shared" si="17"/>
        <v>180</v>
      </c>
      <c r="S33" s="21">
        <v>0</v>
      </c>
      <c r="T33" s="28">
        <v>0</v>
      </c>
      <c r="U33" s="13">
        <f t="shared" si="18"/>
        <v>780</v>
      </c>
      <c r="V33" s="13">
        <f t="shared" si="19"/>
        <v>9500</v>
      </c>
      <c r="W33" s="11">
        <v>9500</v>
      </c>
      <c r="X33" s="16">
        <f t="shared" si="14"/>
        <v>0</v>
      </c>
    </row>
    <row r="34" spans="1:24" x14ac:dyDescent="0.2">
      <c r="A34" s="10" t="s">
        <v>142</v>
      </c>
      <c r="B34" s="11">
        <f t="shared" si="8"/>
        <v>25</v>
      </c>
      <c r="C34" s="11" t="s">
        <v>486</v>
      </c>
      <c r="D34" s="19" t="s">
        <v>50</v>
      </c>
      <c r="E34" s="19" t="s">
        <v>484</v>
      </c>
      <c r="F34" s="20">
        <v>42648</v>
      </c>
      <c r="G34" s="25">
        <v>30</v>
      </c>
      <c r="H34" s="13">
        <f t="shared" si="16"/>
        <v>5000</v>
      </c>
      <c r="I34" s="13">
        <f t="shared" si="20"/>
        <v>0</v>
      </c>
      <c r="J34" s="13">
        <f t="shared" si="7"/>
        <v>250</v>
      </c>
      <c r="L34" s="13">
        <f t="shared" si="9"/>
        <v>800</v>
      </c>
      <c r="N34" s="13">
        <f>((1950+1441+839+0)/G$3)*G34</f>
        <v>4230</v>
      </c>
      <c r="P34" s="13">
        <f t="shared" si="2"/>
        <v>10280</v>
      </c>
      <c r="Q34" s="12">
        <f t="shared" si="3"/>
        <v>600</v>
      </c>
      <c r="R34" s="12">
        <f t="shared" si="17"/>
        <v>180</v>
      </c>
      <c r="S34" s="21">
        <v>0</v>
      </c>
      <c r="T34" s="28">
        <v>0</v>
      </c>
      <c r="U34" s="13">
        <f t="shared" si="18"/>
        <v>780</v>
      </c>
      <c r="V34" s="13">
        <f t="shared" si="19"/>
        <v>9500</v>
      </c>
      <c r="W34" s="11">
        <v>9500</v>
      </c>
      <c r="X34" s="16">
        <f t="shared" si="14"/>
        <v>0</v>
      </c>
    </row>
    <row r="35" spans="1:24" x14ac:dyDescent="0.2">
      <c r="A35" s="10" t="s">
        <v>159</v>
      </c>
      <c r="B35" s="11">
        <f t="shared" si="8"/>
        <v>26</v>
      </c>
      <c r="C35" s="11" t="s">
        <v>135</v>
      </c>
      <c r="D35" s="19" t="s">
        <v>50</v>
      </c>
      <c r="E35" s="19" t="s">
        <v>241</v>
      </c>
      <c r="F35" s="20">
        <v>42689</v>
      </c>
      <c r="G35" s="25">
        <v>30</v>
      </c>
      <c r="H35" s="13">
        <f t="shared" si="16"/>
        <v>5000</v>
      </c>
      <c r="I35" s="13">
        <f t="shared" si="20"/>
        <v>0</v>
      </c>
      <c r="J35" s="13">
        <f t="shared" si="7"/>
        <v>250</v>
      </c>
      <c r="L35" s="13">
        <f t="shared" si="9"/>
        <v>800</v>
      </c>
      <c r="N35" s="13">
        <f>((7996+0)/G$3)*G35</f>
        <v>7996.0000000000009</v>
      </c>
      <c r="P35" s="13">
        <f t="shared" si="2"/>
        <v>14046</v>
      </c>
      <c r="Q35" s="12">
        <f t="shared" si="3"/>
        <v>600</v>
      </c>
      <c r="R35" s="12">
        <f t="shared" si="17"/>
        <v>246</v>
      </c>
      <c r="S35" s="21">
        <v>0</v>
      </c>
      <c r="T35" s="28">
        <v>0</v>
      </c>
      <c r="U35" s="13">
        <f t="shared" ref="U35:U40" si="21">SUM(Q35:T35)</f>
        <v>846</v>
      </c>
      <c r="V35" s="13">
        <f t="shared" si="19"/>
        <v>13200</v>
      </c>
      <c r="X35" s="16">
        <f t="shared" si="14"/>
        <v>-13200</v>
      </c>
    </row>
    <row r="36" spans="1:24" x14ac:dyDescent="0.2">
      <c r="A36" s="10" t="s">
        <v>160</v>
      </c>
      <c r="B36" s="11">
        <f t="shared" si="8"/>
        <v>27</v>
      </c>
      <c r="C36" s="11" t="s">
        <v>198</v>
      </c>
      <c r="D36" s="19" t="s">
        <v>50</v>
      </c>
      <c r="E36" s="19" t="s">
        <v>240</v>
      </c>
      <c r="F36" s="20">
        <v>42675</v>
      </c>
      <c r="G36" s="25">
        <v>30</v>
      </c>
      <c r="H36" s="13">
        <f t="shared" si="16"/>
        <v>5000</v>
      </c>
      <c r="I36" s="13">
        <f t="shared" si="20"/>
        <v>0</v>
      </c>
      <c r="J36" s="13">
        <f t="shared" si="7"/>
        <v>250</v>
      </c>
      <c r="L36" s="13">
        <f t="shared" si="9"/>
        <v>800</v>
      </c>
      <c r="N36" s="13">
        <f>((6979+814+0)/G$3)*G36</f>
        <v>7793</v>
      </c>
      <c r="P36" s="13">
        <f t="shared" si="2"/>
        <v>13843</v>
      </c>
      <c r="Q36" s="12">
        <f t="shared" si="3"/>
        <v>600</v>
      </c>
      <c r="R36" s="12">
        <f t="shared" si="17"/>
        <v>243</v>
      </c>
      <c r="S36" s="21">
        <v>0</v>
      </c>
      <c r="T36" s="28">
        <v>0</v>
      </c>
      <c r="U36" s="13">
        <f t="shared" si="21"/>
        <v>843</v>
      </c>
      <c r="V36" s="13">
        <f t="shared" si="19"/>
        <v>13000</v>
      </c>
      <c r="W36" s="11">
        <v>13000</v>
      </c>
      <c r="X36" s="16">
        <f t="shared" si="14"/>
        <v>0</v>
      </c>
    </row>
    <row r="37" spans="1:24" x14ac:dyDescent="0.2">
      <c r="A37" s="10" t="s">
        <v>161</v>
      </c>
      <c r="B37" s="11">
        <f t="shared" si="8"/>
        <v>28</v>
      </c>
      <c r="C37" s="11" t="s">
        <v>203</v>
      </c>
      <c r="D37" s="19" t="s">
        <v>50</v>
      </c>
      <c r="E37" s="19" t="s">
        <v>241</v>
      </c>
      <c r="F37" s="20">
        <v>42688</v>
      </c>
      <c r="G37" s="25">
        <v>30</v>
      </c>
      <c r="H37" s="13">
        <f t="shared" si="16"/>
        <v>5000</v>
      </c>
      <c r="I37" s="13">
        <f t="shared" si="20"/>
        <v>0</v>
      </c>
      <c r="J37" s="13">
        <f t="shared" si="7"/>
        <v>250</v>
      </c>
      <c r="L37" s="13">
        <f t="shared" si="9"/>
        <v>800</v>
      </c>
      <c r="N37" s="13">
        <f>((1950+1441+839+0)/G$3)*G37</f>
        <v>4230</v>
      </c>
      <c r="P37" s="13">
        <f t="shared" si="2"/>
        <v>10280</v>
      </c>
      <c r="Q37" s="12">
        <f t="shared" si="3"/>
        <v>600</v>
      </c>
      <c r="R37" s="12">
        <f t="shared" si="17"/>
        <v>180</v>
      </c>
      <c r="S37" s="21">
        <v>0</v>
      </c>
      <c r="T37" s="28">
        <v>0</v>
      </c>
      <c r="U37" s="13">
        <f t="shared" si="21"/>
        <v>780</v>
      </c>
      <c r="V37" s="13">
        <f t="shared" si="19"/>
        <v>9500</v>
      </c>
      <c r="W37" s="11">
        <v>9500</v>
      </c>
      <c r="X37" s="16">
        <f t="shared" si="14"/>
        <v>0</v>
      </c>
    </row>
    <row r="38" spans="1:24" x14ac:dyDescent="0.2">
      <c r="A38" s="10" t="s">
        <v>162</v>
      </c>
      <c r="B38" s="11">
        <f t="shared" si="8"/>
        <v>29</v>
      </c>
      <c r="C38" s="11" t="s">
        <v>136</v>
      </c>
      <c r="D38" s="19" t="s">
        <v>50</v>
      </c>
      <c r="E38" s="19" t="s">
        <v>238</v>
      </c>
      <c r="F38" s="20">
        <v>42698</v>
      </c>
      <c r="G38" s="25">
        <v>30</v>
      </c>
      <c r="H38" s="13">
        <f t="shared" si="16"/>
        <v>5000</v>
      </c>
      <c r="I38" s="13">
        <f t="shared" si="20"/>
        <v>0</v>
      </c>
      <c r="J38" s="13">
        <f t="shared" si="7"/>
        <v>250</v>
      </c>
      <c r="L38" s="13">
        <f t="shared" si="9"/>
        <v>800</v>
      </c>
      <c r="N38" s="13">
        <f>((1950+1441+1043+814+0)/G$3)*G38</f>
        <v>5248</v>
      </c>
      <c r="P38" s="13">
        <f t="shared" si="2"/>
        <v>11298</v>
      </c>
      <c r="Q38" s="12">
        <f t="shared" si="3"/>
        <v>600</v>
      </c>
      <c r="R38" s="12">
        <f t="shared" si="17"/>
        <v>198</v>
      </c>
      <c r="S38" s="21">
        <v>0</v>
      </c>
      <c r="T38" s="28">
        <v>0</v>
      </c>
      <c r="U38" s="13">
        <f t="shared" si="21"/>
        <v>798</v>
      </c>
      <c r="V38" s="13">
        <f t="shared" si="19"/>
        <v>10500</v>
      </c>
      <c r="W38" s="11">
        <v>10500</v>
      </c>
      <c r="X38" s="16">
        <f t="shared" si="14"/>
        <v>0</v>
      </c>
    </row>
    <row r="39" spans="1:24" x14ac:dyDescent="0.2">
      <c r="A39" s="10" t="s">
        <v>163</v>
      </c>
      <c r="B39" s="11">
        <f t="shared" si="8"/>
        <v>30</v>
      </c>
      <c r="C39" s="11" t="s">
        <v>137</v>
      </c>
      <c r="D39" s="19" t="s">
        <v>50</v>
      </c>
      <c r="E39" s="19" t="s">
        <v>232</v>
      </c>
      <c r="F39" s="20">
        <v>42701</v>
      </c>
      <c r="G39" s="25">
        <v>30</v>
      </c>
      <c r="H39" s="13">
        <f t="shared" si="16"/>
        <v>5000</v>
      </c>
      <c r="I39" s="13">
        <f t="shared" si="20"/>
        <v>0</v>
      </c>
      <c r="J39" s="13">
        <f t="shared" si="7"/>
        <v>250</v>
      </c>
      <c r="L39" s="13">
        <f t="shared" si="9"/>
        <v>800</v>
      </c>
      <c r="N39" s="13">
        <f>((1950+1441+1043+814+0)/G$3)*G39</f>
        <v>5248</v>
      </c>
      <c r="P39" s="13">
        <f t="shared" si="2"/>
        <v>11298</v>
      </c>
      <c r="Q39" s="12">
        <f t="shared" si="3"/>
        <v>600</v>
      </c>
      <c r="R39" s="12">
        <f t="shared" si="17"/>
        <v>198</v>
      </c>
      <c r="S39" s="21">
        <v>0</v>
      </c>
      <c r="T39" s="28">
        <v>0</v>
      </c>
      <c r="U39" s="13">
        <f t="shared" si="21"/>
        <v>798</v>
      </c>
      <c r="V39" s="13">
        <f t="shared" si="19"/>
        <v>10500</v>
      </c>
      <c r="W39" s="11">
        <v>10500</v>
      </c>
      <c r="X39" s="16">
        <f t="shared" si="14"/>
        <v>0</v>
      </c>
    </row>
    <row r="40" spans="1:24" x14ac:dyDescent="0.2">
      <c r="A40" s="10" t="s">
        <v>164</v>
      </c>
      <c r="B40" s="11">
        <f t="shared" si="8"/>
        <v>31</v>
      </c>
      <c r="C40" s="11" t="s">
        <v>138</v>
      </c>
      <c r="D40" s="19" t="s">
        <v>50</v>
      </c>
      <c r="E40" s="19" t="s">
        <v>240</v>
      </c>
      <c r="F40" s="20">
        <v>42701</v>
      </c>
      <c r="G40" s="25">
        <v>30</v>
      </c>
      <c r="H40" s="13">
        <f t="shared" si="16"/>
        <v>5000</v>
      </c>
      <c r="I40" s="13">
        <f t="shared" si="20"/>
        <v>0</v>
      </c>
      <c r="J40" s="13">
        <f t="shared" si="7"/>
        <v>250</v>
      </c>
      <c r="L40" s="13">
        <f t="shared" si="9"/>
        <v>800</v>
      </c>
      <c r="N40" s="13">
        <f>((6979+814+0)/G$3)*G40</f>
        <v>7793</v>
      </c>
      <c r="P40" s="13">
        <f t="shared" si="2"/>
        <v>13843</v>
      </c>
      <c r="Q40" s="12">
        <f t="shared" si="3"/>
        <v>600</v>
      </c>
      <c r="R40" s="12">
        <f t="shared" si="17"/>
        <v>243</v>
      </c>
      <c r="S40" s="21">
        <v>0</v>
      </c>
      <c r="T40" s="28">
        <v>0</v>
      </c>
      <c r="U40" s="13">
        <f t="shared" si="21"/>
        <v>843</v>
      </c>
      <c r="V40" s="13">
        <f t="shared" si="19"/>
        <v>13000</v>
      </c>
      <c r="W40" s="11">
        <v>13000</v>
      </c>
      <c r="X40" s="16">
        <f t="shared" si="14"/>
        <v>0</v>
      </c>
    </row>
    <row r="41" spans="1:24" x14ac:dyDescent="0.2">
      <c r="A41" s="10" t="s">
        <v>182</v>
      </c>
      <c r="B41" s="11">
        <f t="shared" si="8"/>
        <v>32</v>
      </c>
      <c r="C41" s="11" t="s">
        <v>149</v>
      </c>
      <c r="D41" s="19" t="s">
        <v>50</v>
      </c>
      <c r="E41" s="19" t="s">
        <v>234</v>
      </c>
      <c r="F41" s="20">
        <v>42705</v>
      </c>
      <c r="G41" s="25">
        <v>30</v>
      </c>
      <c r="H41" s="13">
        <f t="shared" si="16"/>
        <v>5000</v>
      </c>
      <c r="I41" s="13">
        <f t="shared" si="20"/>
        <v>0</v>
      </c>
      <c r="J41" s="13">
        <f t="shared" si="7"/>
        <v>250</v>
      </c>
      <c r="L41" s="13">
        <f t="shared" si="9"/>
        <v>800</v>
      </c>
      <c r="N41" s="13">
        <f>((1950+1441+1043+814+0)/G$3)*G41</f>
        <v>5248</v>
      </c>
      <c r="P41" s="13">
        <f t="shared" si="2"/>
        <v>11298</v>
      </c>
      <c r="Q41" s="12">
        <f t="shared" si="3"/>
        <v>600</v>
      </c>
      <c r="R41" s="12">
        <f t="shared" si="17"/>
        <v>198</v>
      </c>
      <c r="S41" s="21">
        <v>0</v>
      </c>
      <c r="T41" s="28">
        <v>0</v>
      </c>
      <c r="U41" s="13">
        <f t="shared" ref="U41:U49" si="22">SUM(Q41:T41)</f>
        <v>798</v>
      </c>
      <c r="V41" s="13">
        <f t="shared" si="19"/>
        <v>10500</v>
      </c>
      <c r="W41" s="11">
        <v>10500</v>
      </c>
      <c r="X41" s="16">
        <f t="shared" si="14"/>
        <v>0</v>
      </c>
    </row>
    <row r="42" spans="1:24" x14ac:dyDescent="0.2">
      <c r="A42" s="10" t="s">
        <v>183</v>
      </c>
      <c r="B42" s="11">
        <f t="shared" si="8"/>
        <v>33</v>
      </c>
      <c r="C42" s="11" t="s">
        <v>150</v>
      </c>
      <c r="D42" s="19" t="s">
        <v>50</v>
      </c>
      <c r="E42" s="19" t="s">
        <v>234</v>
      </c>
      <c r="F42" s="20">
        <v>42705</v>
      </c>
      <c r="G42" s="25">
        <v>30</v>
      </c>
      <c r="H42" s="13">
        <f t="shared" si="16"/>
        <v>5000</v>
      </c>
      <c r="I42" s="13">
        <f t="shared" si="20"/>
        <v>0</v>
      </c>
      <c r="J42" s="13">
        <f t="shared" si="7"/>
        <v>250</v>
      </c>
      <c r="L42" s="13">
        <f t="shared" si="9"/>
        <v>800</v>
      </c>
      <c r="N42" s="13">
        <f>((1950+1441+1043+814+0)/G$3)*G42</f>
        <v>5248</v>
      </c>
      <c r="P42" s="13">
        <f t="shared" si="2"/>
        <v>11298</v>
      </c>
      <c r="Q42" s="12">
        <f t="shared" si="3"/>
        <v>600</v>
      </c>
      <c r="R42" s="12">
        <f t="shared" si="17"/>
        <v>198</v>
      </c>
      <c r="S42" s="21">
        <v>0</v>
      </c>
      <c r="T42" s="28">
        <v>0</v>
      </c>
      <c r="U42" s="13">
        <f t="shared" si="22"/>
        <v>798</v>
      </c>
      <c r="V42" s="13">
        <f t="shared" si="19"/>
        <v>10500</v>
      </c>
      <c r="W42" s="11">
        <v>10500</v>
      </c>
      <c r="X42" s="16">
        <f t="shared" si="14"/>
        <v>0</v>
      </c>
    </row>
    <row r="43" spans="1:24" x14ac:dyDescent="0.2">
      <c r="A43" s="10" t="s">
        <v>184</v>
      </c>
      <c r="B43" s="11">
        <f t="shared" si="8"/>
        <v>34</v>
      </c>
      <c r="C43" s="11" t="s">
        <v>151</v>
      </c>
      <c r="D43" s="19" t="s">
        <v>50</v>
      </c>
      <c r="E43" s="19" t="s">
        <v>242</v>
      </c>
      <c r="F43" s="20">
        <v>42705</v>
      </c>
      <c r="G43" s="25">
        <v>30</v>
      </c>
      <c r="H43" s="13">
        <f t="shared" si="16"/>
        <v>5000</v>
      </c>
      <c r="I43" s="13">
        <f t="shared" si="20"/>
        <v>0</v>
      </c>
      <c r="J43" s="13">
        <f t="shared" si="7"/>
        <v>250</v>
      </c>
      <c r="L43" s="13">
        <f t="shared" si="9"/>
        <v>800</v>
      </c>
      <c r="N43" s="13">
        <f>((1950+1441+839+0)/G$3)*G43</f>
        <v>4230</v>
      </c>
      <c r="P43" s="13">
        <f t="shared" si="2"/>
        <v>10280</v>
      </c>
      <c r="Q43" s="12">
        <f t="shared" si="3"/>
        <v>600</v>
      </c>
      <c r="R43" s="12">
        <f t="shared" si="17"/>
        <v>180</v>
      </c>
      <c r="S43" s="21">
        <v>0</v>
      </c>
      <c r="T43" s="28">
        <v>0</v>
      </c>
      <c r="U43" s="13">
        <f t="shared" si="22"/>
        <v>780</v>
      </c>
      <c r="V43" s="13">
        <f t="shared" si="19"/>
        <v>9500</v>
      </c>
      <c r="W43" s="11">
        <v>9500</v>
      </c>
      <c r="X43" s="16">
        <f t="shared" si="14"/>
        <v>0</v>
      </c>
    </row>
    <row r="44" spans="1:24" x14ac:dyDescent="0.2">
      <c r="A44" s="10" t="s">
        <v>185</v>
      </c>
      <c r="B44" s="11">
        <f t="shared" si="8"/>
        <v>35</v>
      </c>
      <c r="C44" s="11" t="s">
        <v>152</v>
      </c>
      <c r="D44" s="19" t="s">
        <v>50</v>
      </c>
      <c r="E44" s="19" t="s">
        <v>234</v>
      </c>
      <c r="F44" s="20">
        <v>42705</v>
      </c>
      <c r="G44" s="25">
        <v>30</v>
      </c>
      <c r="H44" s="13">
        <f t="shared" si="16"/>
        <v>5000</v>
      </c>
      <c r="I44" s="13">
        <f t="shared" si="20"/>
        <v>0</v>
      </c>
      <c r="J44" s="13">
        <f t="shared" si="7"/>
        <v>250</v>
      </c>
      <c r="L44" s="13">
        <f t="shared" si="9"/>
        <v>800</v>
      </c>
      <c r="N44" s="13">
        <f>((1950+1441+1043+814+0)/G$3)*G44</f>
        <v>5248</v>
      </c>
      <c r="P44" s="13">
        <f t="shared" si="2"/>
        <v>11298</v>
      </c>
      <c r="Q44" s="12">
        <f t="shared" si="3"/>
        <v>600</v>
      </c>
      <c r="R44" s="12">
        <f t="shared" si="17"/>
        <v>198</v>
      </c>
      <c r="S44" s="21">
        <v>0</v>
      </c>
      <c r="T44" s="28">
        <v>0</v>
      </c>
      <c r="U44" s="13">
        <f t="shared" si="22"/>
        <v>798</v>
      </c>
      <c r="V44" s="13">
        <f t="shared" si="19"/>
        <v>10500</v>
      </c>
      <c r="W44" s="11">
        <v>10500</v>
      </c>
      <c r="X44" s="16">
        <f t="shared" si="14"/>
        <v>0</v>
      </c>
    </row>
    <row r="45" spans="1:24" x14ac:dyDescent="0.2">
      <c r="A45" s="10" t="s">
        <v>186</v>
      </c>
      <c r="B45" s="11">
        <f t="shared" si="8"/>
        <v>36</v>
      </c>
      <c r="C45" s="11" t="s">
        <v>174</v>
      </c>
      <c r="D45" s="19" t="s">
        <v>50</v>
      </c>
      <c r="E45" s="19" t="s">
        <v>238</v>
      </c>
      <c r="F45" s="20">
        <v>42705</v>
      </c>
      <c r="G45" s="25">
        <v>30</v>
      </c>
      <c r="H45" s="13">
        <f t="shared" si="16"/>
        <v>5000</v>
      </c>
      <c r="I45" s="13">
        <f t="shared" si="20"/>
        <v>0</v>
      </c>
      <c r="J45" s="13">
        <f t="shared" si="7"/>
        <v>250</v>
      </c>
      <c r="L45" s="13">
        <f t="shared" si="9"/>
        <v>800</v>
      </c>
      <c r="N45" s="13">
        <f>((1950+1441+1043+814+0)/G$3)*G45</f>
        <v>5248</v>
      </c>
      <c r="P45" s="13">
        <f t="shared" si="2"/>
        <v>11298</v>
      </c>
      <c r="Q45" s="12">
        <f t="shared" si="3"/>
        <v>600</v>
      </c>
      <c r="R45" s="12">
        <f t="shared" si="17"/>
        <v>198</v>
      </c>
      <c r="S45" s="21">
        <v>0</v>
      </c>
      <c r="T45" s="28">
        <v>0</v>
      </c>
      <c r="U45" s="13">
        <f t="shared" si="22"/>
        <v>798</v>
      </c>
      <c r="V45" s="13">
        <f t="shared" si="19"/>
        <v>10500</v>
      </c>
      <c r="W45" s="11">
        <v>10500</v>
      </c>
      <c r="X45" s="16">
        <f t="shared" si="14"/>
        <v>0</v>
      </c>
    </row>
    <row r="46" spans="1:24" s="25" customFormat="1" x14ac:dyDescent="0.2">
      <c r="A46" s="24" t="s">
        <v>187</v>
      </c>
      <c r="B46" s="25">
        <f t="shared" si="8"/>
        <v>37</v>
      </c>
      <c r="C46" s="25" t="s">
        <v>430</v>
      </c>
      <c r="D46" s="26" t="s">
        <v>50</v>
      </c>
      <c r="E46" s="26" t="s">
        <v>234</v>
      </c>
      <c r="F46" s="27">
        <v>42705</v>
      </c>
      <c r="G46" s="25">
        <v>30</v>
      </c>
      <c r="H46" s="28">
        <f t="shared" si="16"/>
        <v>5000</v>
      </c>
      <c r="I46" s="28">
        <f t="shared" si="20"/>
        <v>0</v>
      </c>
      <c r="J46" s="28">
        <f t="shared" si="7"/>
        <v>250</v>
      </c>
      <c r="K46" s="28"/>
      <c r="L46" s="28">
        <f t="shared" si="9"/>
        <v>800</v>
      </c>
      <c r="M46" s="28"/>
      <c r="N46" s="28">
        <f>((1950+1441+1043+2417)/G$3)*G46</f>
        <v>6851</v>
      </c>
      <c r="O46" s="28"/>
      <c r="P46" s="28">
        <f t="shared" si="2"/>
        <v>12901</v>
      </c>
      <c r="Q46" s="29">
        <f t="shared" si="3"/>
        <v>600</v>
      </c>
      <c r="R46" s="29">
        <f t="shared" si="17"/>
        <v>226</v>
      </c>
      <c r="S46" s="30">
        <v>0</v>
      </c>
      <c r="T46" s="28">
        <v>0</v>
      </c>
      <c r="U46" s="28">
        <f t="shared" si="22"/>
        <v>826</v>
      </c>
      <c r="V46" s="28">
        <f t="shared" si="19"/>
        <v>12075</v>
      </c>
      <c r="W46" s="11"/>
    </row>
    <row r="47" spans="1:24" x14ac:dyDescent="0.2">
      <c r="A47" s="10" t="s">
        <v>188</v>
      </c>
      <c r="B47" s="11">
        <f t="shared" si="8"/>
        <v>38</v>
      </c>
      <c r="C47" s="11" t="s">
        <v>153</v>
      </c>
      <c r="D47" s="19" t="s">
        <v>50</v>
      </c>
      <c r="E47" s="19" t="s">
        <v>232</v>
      </c>
      <c r="F47" s="20">
        <v>42705</v>
      </c>
      <c r="G47" s="25">
        <v>30</v>
      </c>
      <c r="H47" s="13">
        <f t="shared" si="16"/>
        <v>5000</v>
      </c>
      <c r="I47" s="13">
        <f t="shared" si="20"/>
        <v>0</v>
      </c>
      <c r="J47" s="13">
        <f t="shared" si="7"/>
        <v>250</v>
      </c>
      <c r="L47" s="13">
        <f t="shared" si="9"/>
        <v>800</v>
      </c>
      <c r="N47" s="13">
        <f>((1950+1441+1043+814+0)/G$3)*G47</f>
        <v>5248</v>
      </c>
      <c r="P47" s="13">
        <f t="shared" si="2"/>
        <v>11298</v>
      </c>
      <c r="Q47" s="12">
        <f t="shared" si="3"/>
        <v>600</v>
      </c>
      <c r="R47" s="12">
        <f t="shared" si="17"/>
        <v>198</v>
      </c>
      <c r="S47" s="21">
        <v>0</v>
      </c>
      <c r="T47" s="28">
        <v>0</v>
      </c>
      <c r="U47" s="13">
        <f t="shared" si="22"/>
        <v>798</v>
      </c>
      <c r="V47" s="13">
        <f t="shared" si="19"/>
        <v>10500</v>
      </c>
      <c r="W47" s="11">
        <v>10500</v>
      </c>
      <c r="X47" s="16">
        <f t="shared" si="14"/>
        <v>0</v>
      </c>
    </row>
    <row r="48" spans="1:24" x14ac:dyDescent="0.2">
      <c r="A48" s="10" t="s">
        <v>189</v>
      </c>
      <c r="B48" s="11">
        <f t="shared" si="8"/>
        <v>39</v>
      </c>
      <c r="C48" s="11" t="s">
        <v>488</v>
      </c>
      <c r="D48" s="19" t="s">
        <v>50</v>
      </c>
      <c r="E48" s="19" t="s">
        <v>237</v>
      </c>
      <c r="F48" s="20">
        <v>42705</v>
      </c>
      <c r="G48" s="25">
        <v>30</v>
      </c>
      <c r="H48" s="13">
        <f t="shared" si="16"/>
        <v>5000</v>
      </c>
      <c r="I48" s="13">
        <f t="shared" si="20"/>
        <v>0</v>
      </c>
      <c r="J48" s="13">
        <f t="shared" si="7"/>
        <v>250</v>
      </c>
      <c r="L48" s="13">
        <f t="shared" si="9"/>
        <v>800</v>
      </c>
      <c r="N48" s="13">
        <f>((1950+1441+2061+1323+0)/G$3)*G48</f>
        <v>6775</v>
      </c>
      <c r="P48" s="13">
        <f t="shared" si="2"/>
        <v>12825</v>
      </c>
      <c r="Q48" s="12">
        <f t="shared" si="3"/>
        <v>600</v>
      </c>
      <c r="R48" s="12">
        <f t="shared" si="17"/>
        <v>225</v>
      </c>
      <c r="S48" s="21">
        <v>0</v>
      </c>
      <c r="T48" s="28">
        <v>0</v>
      </c>
      <c r="U48" s="13">
        <f t="shared" si="22"/>
        <v>825</v>
      </c>
      <c r="V48" s="13">
        <f t="shared" si="19"/>
        <v>12000</v>
      </c>
      <c r="W48" s="11">
        <v>12000</v>
      </c>
      <c r="X48" s="16">
        <f t="shared" si="14"/>
        <v>0</v>
      </c>
    </row>
    <row r="49" spans="1:24" x14ac:dyDescent="0.2">
      <c r="A49" s="10" t="s">
        <v>190</v>
      </c>
      <c r="B49" s="11">
        <f t="shared" si="8"/>
        <v>40</v>
      </c>
      <c r="C49" s="11" t="s">
        <v>154</v>
      </c>
      <c r="D49" s="19" t="s">
        <v>50</v>
      </c>
      <c r="E49" s="19" t="s">
        <v>484</v>
      </c>
      <c r="F49" s="20">
        <v>42705</v>
      </c>
      <c r="G49" s="25">
        <v>30</v>
      </c>
      <c r="H49" s="13">
        <f t="shared" si="16"/>
        <v>5000</v>
      </c>
      <c r="I49" s="13">
        <f t="shared" si="20"/>
        <v>0</v>
      </c>
      <c r="J49" s="13">
        <f t="shared" si="7"/>
        <v>250</v>
      </c>
      <c r="L49" s="13">
        <f t="shared" si="9"/>
        <v>800</v>
      </c>
      <c r="N49" s="13">
        <f>((1950+1441+839+0)/G$3)*G49</f>
        <v>4230</v>
      </c>
      <c r="P49" s="13">
        <f t="shared" si="2"/>
        <v>10280</v>
      </c>
      <c r="Q49" s="12">
        <f t="shared" si="3"/>
        <v>600</v>
      </c>
      <c r="R49" s="12">
        <f t="shared" si="17"/>
        <v>180</v>
      </c>
      <c r="S49" s="21">
        <v>0</v>
      </c>
      <c r="T49" s="28">
        <v>0</v>
      </c>
      <c r="U49" s="13">
        <f t="shared" si="22"/>
        <v>780</v>
      </c>
      <c r="V49" s="13">
        <f t="shared" si="19"/>
        <v>9500</v>
      </c>
      <c r="W49" s="11">
        <v>9500</v>
      </c>
      <c r="X49" s="16">
        <f t="shared" si="14"/>
        <v>0</v>
      </c>
    </row>
    <row r="50" spans="1:24" x14ac:dyDescent="0.2">
      <c r="A50" s="10" t="s">
        <v>225</v>
      </c>
      <c r="B50" s="11">
        <f t="shared" si="8"/>
        <v>41</v>
      </c>
      <c r="C50" s="11" t="s">
        <v>175</v>
      </c>
      <c r="D50" s="19" t="s">
        <v>50</v>
      </c>
      <c r="E50" s="19" t="s">
        <v>239</v>
      </c>
      <c r="F50" s="20">
        <v>42736</v>
      </c>
      <c r="G50" s="25">
        <v>30</v>
      </c>
      <c r="H50" s="13">
        <f t="shared" si="16"/>
        <v>5000</v>
      </c>
      <c r="I50" s="13">
        <f t="shared" si="20"/>
        <v>0</v>
      </c>
      <c r="J50" s="13">
        <f t="shared" si="7"/>
        <v>250</v>
      </c>
      <c r="L50" s="13">
        <f t="shared" si="9"/>
        <v>800</v>
      </c>
      <c r="N50" s="13">
        <f>((1950+1441+839+0)/G$3)*G50</f>
        <v>4230</v>
      </c>
      <c r="P50" s="13">
        <f t="shared" si="2"/>
        <v>10280</v>
      </c>
      <c r="Q50" s="12">
        <f t="shared" si="3"/>
        <v>600</v>
      </c>
      <c r="R50" s="12">
        <f t="shared" si="17"/>
        <v>180</v>
      </c>
      <c r="S50" s="21">
        <v>0</v>
      </c>
      <c r="T50" s="28">
        <v>0</v>
      </c>
      <c r="U50" s="13">
        <f t="shared" ref="U50:U55" si="23">SUM(Q50:T50)</f>
        <v>780</v>
      </c>
      <c r="V50" s="13">
        <f t="shared" si="19"/>
        <v>9500</v>
      </c>
      <c r="W50" s="11">
        <v>9500</v>
      </c>
      <c r="X50" s="16">
        <f t="shared" si="14"/>
        <v>0</v>
      </c>
    </row>
    <row r="51" spans="1:24" x14ac:dyDescent="0.2">
      <c r="A51" s="10" t="s">
        <v>226</v>
      </c>
      <c r="B51" s="11">
        <f t="shared" si="8"/>
        <v>42</v>
      </c>
      <c r="C51" s="11" t="s">
        <v>176</v>
      </c>
      <c r="D51" s="19" t="s">
        <v>50</v>
      </c>
      <c r="E51" s="19" t="s">
        <v>239</v>
      </c>
      <c r="F51" s="20">
        <v>42736</v>
      </c>
      <c r="G51" s="25">
        <v>30</v>
      </c>
      <c r="H51" s="13">
        <f t="shared" si="16"/>
        <v>5000</v>
      </c>
      <c r="I51" s="13">
        <f t="shared" si="20"/>
        <v>0</v>
      </c>
      <c r="J51" s="13">
        <f t="shared" si="7"/>
        <v>250</v>
      </c>
      <c r="L51" s="13">
        <f t="shared" si="9"/>
        <v>800</v>
      </c>
      <c r="N51" s="13">
        <f>((1950+1441+839+0)/G$3)*G51</f>
        <v>4230</v>
      </c>
      <c r="P51" s="13">
        <f t="shared" si="2"/>
        <v>10280</v>
      </c>
      <c r="Q51" s="12">
        <f t="shared" si="3"/>
        <v>600</v>
      </c>
      <c r="R51" s="12">
        <f t="shared" si="17"/>
        <v>180</v>
      </c>
      <c r="S51" s="21">
        <v>0</v>
      </c>
      <c r="T51" s="28">
        <v>0</v>
      </c>
      <c r="U51" s="13">
        <f t="shared" si="23"/>
        <v>780</v>
      </c>
      <c r="V51" s="13">
        <f t="shared" si="19"/>
        <v>9500</v>
      </c>
      <c r="W51" s="11">
        <v>9500</v>
      </c>
      <c r="X51" s="16">
        <f t="shared" si="14"/>
        <v>0</v>
      </c>
    </row>
    <row r="52" spans="1:24" x14ac:dyDescent="0.2">
      <c r="A52" s="10" t="s">
        <v>227</v>
      </c>
      <c r="B52" s="11">
        <f t="shared" si="8"/>
        <v>43</v>
      </c>
      <c r="C52" s="11" t="s">
        <v>202</v>
      </c>
      <c r="D52" s="19" t="s">
        <v>50</v>
      </c>
      <c r="E52" s="19" t="s">
        <v>239</v>
      </c>
      <c r="F52" s="20">
        <v>42736</v>
      </c>
      <c r="G52" s="25">
        <v>30</v>
      </c>
      <c r="H52" s="13">
        <f t="shared" si="16"/>
        <v>5000</v>
      </c>
      <c r="I52" s="13">
        <f t="shared" si="20"/>
        <v>0</v>
      </c>
      <c r="J52" s="13">
        <f t="shared" si="7"/>
        <v>250</v>
      </c>
      <c r="L52" s="13">
        <f t="shared" si="9"/>
        <v>800</v>
      </c>
      <c r="N52" s="13">
        <f>((1950+1441+6641+814+0)/G$3)*G52</f>
        <v>10846</v>
      </c>
      <c r="P52" s="13">
        <f t="shared" si="2"/>
        <v>16896</v>
      </c>
      <c r="Q52" s="12">
        <f t="shared" si="3"/>
        <v>600</v>
      </c>
      <c r="R52" s="12">
        <f t="shared" si="17"/>
        <v>296</v>
      </c>
      <c r="S52" s="21">
        <v>0</v>
      </c>
      <c r="T52" s="28">
        <v>0</v>
      </c>
      <c r="U52" s="13">
        <f t="shared" si="23"/>
        <v>896</v>
      </c>
      <c r="V52" s="13">
        <f t="shared" si="19"/>
        <v>16000</v>
      </c>
      <c r="W52" s="11">
        <v>16000</v>
      </c>
      <c r="X52" s="16">
        <f t="shared" si="14"/>
        <v>0</v>
      </c>
    </row>
    <row r="53" spans="1:24" s="25" customFormat="1" x14ac:dyDescent="0.2">
      <c r="A53" s="24" t="s">
        <v>228</v>
      </c>
      <c r="B53" s="25">
        <f t="shared" si="8"/>
        <v>44</v>
      </c>
      <c r="C53" s="25" t="s">
        <v>200</v>
      </c>
      <c r="D53" s="26" t="s">
        <v>50</v>
      </c>
      <c r="E53" s="26" t="s">
        <v>238</v>
      </c>
      <c r="F53" s="27">
        <v>42736</v>
      </c>
      <c r="G53" s="25">
        <v>30</v>
      </c>
      <c r="H53" s="28">
        <f t="shared" si="16"/>
        <v>5000</v>
      </c>
      <c r="I53" s="28">
        <f t="shared" si="20"/>
        <v>0</v>
      </c>
      <c r="J53" s="28">
        <f t="shared" si="7"/>
        <v>250</v>
      </c>
      <c r="K53" s="28"/>
      <c r="L53" s="28">
        <f t="shared" si="9"/>
        <v>800</v>
      </c>
      <c r="M53" s="28"/>
      <c r="N53" s="28">
        <f>((1950+1441+509+534+2417)/G$3)*G53</f>
        <v>6851</v>
      </c>
      <c r="O53" s="28"/>
      <c r="P53" s="28">
        <f t="shared" si="2"/>
        <v>12901</v>
      </c>
      <c r="Q53" s="29">
        <f t="shared" si="3"/>
        <v>600</v>
      </c>
      <c r="R53" s="29">
        <f t="shared" si="17"/>
        <v>226</v>
      </c>
      <c r="S53" s="30">
        <v>0</v>
      </c>
      <c r="T53" s="28">
        <v>0</v>
      </c>
      <c r="U53" s="28">
        <f t="shared" si="23"/>
        <v>826</v>
      </c>
      <c r="V53" s="28">
        <f t="shared" si="19"/>
        <v>12075</v>
      </c>
      <c r="W53" s="11"/>
    </row>
    <row r="54" spans="1:24" x14ac:dyDescent="0.2">
      <c r="A54" s="10" t="s">
        <v>229</v>
      </c>
      <c r="B54" s="11">
        <f t="shared" si="8"/>
        <v>45</v>
      </c>
      <c r="C54" s="11" t="s">
        <v>199</v>
      </c>
      <c r="D54" s="19" t="s">
        <v>50</v>
      </c>
      <c r="E54" s="19" t="s">
        <v>240</v>
      </c>
      <c r="F54" s="20">
        <v>42736</v>
      </c>
      <c r="G54" s="25">
        <v>30</v>
      </c>
      <c r="H54" s="13">
        <f t="shared" si="16"/>
        <v>5000</v>
      </c>
      <c r="I54" s="13">
        <f t="shared" si="20"/>
        <v>0</v>
      </c>
      <c r="J54" s="13">
        <f t="shared" si="7"/>
        <v>250</v>
      </c>
      <c r="L54" s="13">
        <f t="shared" si="9"/>
        <v>800</v>
      </c>
      <c r="N54" s="13">
        <f>((6979+814+0)/G$3)*G54</f>
        <v>7793</v>
      </c>
      <c r="P54" s="13">
        <f t="shared" si="2"/>
        <v>13843</v>
      </c>
      <c r="Q54" s="12">
        <f t="shared" si="3"/>
        <v>600</v>
      </c>
      <c r="R54" s="12">
        <f t="shared" si="17"/>
        <v>243</v>
      </c>
      <c r="S54" s="21">
        <v>0</v>
      </c>
      <c r="T54" s="28">
        <v>0</v>
      </c>
      <c r="U54" s="13">
        <f t="shared" si="23"/>
        <v>843</v>
      </c>
      <c r="V54" s="13">
        <f t="shared" si="19"/>
        <v>13000</v>
      </c>
      <c r="W54" s="11">
        <v>13000</v>
      </c>
      <c r="X54" s="16">
        <f>W54-V54</f>
        <v>0</v>
      </c>
    </row>
    <row r="55" spans="1:24" s="25" customFormat="1" x14ac:dyDescent="0.2">
      <c r="A55" s="24" t="s">
        <v>333</v>
      </c>
      <c r="B55" s="25">
        <f t="shared" si="8"/>
        <v>46</v>
      </c>
      <c r="C55" s="25" t="s">
        <v>427</v>
      </c>
      <c r="D55" s="26" t="s">
        <v>50</v>
      </c>
      <c r="E55" s="26" t="s">
        <v>234</v>
      </c>
      <c r="F55" s="27">
        <v>42736</v>
      </c>
      <c r="G55" s="25">
        <v>30</v>
      </c>
      <c r="H55" s="28">
        <f t="shared" si="16"/>
        <v>5000</v>
      </c>
      <c r="I55" s="28">
        <f t="shared" si="20"/>
        <v>0</v>
      </c>
      <c r="J55" s="28">
        <f t="shared" si="7"/>
        <v>250</v>
      </c>
      <c r="K55" s="28"/>
      <c r="L55" s="28">
        <f t="shared" si="9"/>
        <v>800</v>
      </c>
      <c r="M55" s="28"/>
      <c r="N55" s="28">
        <f>((5197+1120)/G$3)*G55</f>
        <v>6317</v>
      </c>
      <c r="O55" s="28"/>
      <c r="P55" s="28">
        <f t="shared" si="2"/>
        <v>12367</v>
      </c>
      <c r="Q55" s="29">
        <f t="shared" si="3"/>
        <v>600</v>
      </c>
      <c r="R55" s="29">
        <f t="shared" si="17"/>
        <v>217</v>
      </c>
      <c r="S55" s="30">
        <v>0</v>
      </c>
      <c r="T55" s="28">
        <v>0</v>
      </c>
      <c r="U55" s="28">
        <f t="shared" si="23"/>
        <v>817</v>
      </c>
      <c r="V55" s="28">
        <f t="shared" si="19"/>
        <v>11550</v>
      </c>
      <c r="W55" s="11"/>
    </row>
    <row r="56" spans="1:24" s="25" customFormat="1" x14ac:dyDescent="0.2">
      <c r="A56" s="24" t="s">
        <v>219</v>
      </c>
      <c r="B56" s="25">
        <f t="shared" si="8"/>
        <v>47</v>
      </c>
      <c r="C56" s="25" t="s">
        <v>220</v>
      </c>
      <c r="D56" s="26" t="s">
        <v>50</v>
      </c>
      <c r="E56" s="26" t="s">
        <v>234</v>
      </c>
      <c r="F56" s="27">
        <v>42767</v>
      </c>
      <c r="G56" s="25">
        <v>30</v>
      </c>
      <c r="H56" s="28">
        <f t="shared" si="16"/>
        <v>5000</v>
      </c>
      <c r="I56" s="28">
        <f t="shared" si="20"/>
        <v>0</v>
      </c>
      <c r="J56" s="28">
        <f t="shared" si="7"/>
        <v>250</v>
      </c>
      <c r="K56" s="28"/>
      <c r="L56" s="28">
        <f t="shared" si="9"/>
        <v>800</v>
      </c>
      <c r="M56" s="28"/>
      <c r="N56" s="28">
        <f>((5197+1120)/G$3)*G56</f>
        <v>6317</v>
      </c>
      <c r="O56" s="28"/>
      <c r="P56" s="28">
        <f t="shared" si="2"/>
        <v>12367</v>
      </c>
      <c r="Q56" s="29">
        <f t="shared" si="3"/>
        <v>600</v>
      </c>
      <c r="R56" s="29">
        <f t="shared" si="17"/>
        <v>217</v>
      </c>
      <c r="S56" s="30">
        <v>0</v>
      </c>
      <c r="T56" s="28">
        <v>0</v>
      </c>
      <c r="U56" s="28">
        <f t="shared" ref="U56:U75" si="24">SUM(Q56:T56)</f>
        <v>817</v>
      </c>
      <c r="V56" s="28">
        <f t="shared" si="19"/>
        <v>11550</v>
      </c>
      <c r="W56" s="11"/>
    </row>
    <row r="57" spans="1:24" s="25" customFormat="1" x14ac:dyDescent="0.2">
      <c r="A57" s="24" t="s">
        <v>82</v>
      </c>
      <c r="B57" s="25">
        <f t="shared" si="8"/>
        <v>48</v>
      </c>
      <c r="C57" s="25" t="s">
        <v>34</v>
      </c>
      <c r="D57" s="26" t="s">
        <v>50</v>
      </c>
      <c r="E57" s="26" t="s">
        <v>240</v>
      </c>
      <c r="F57" s="27">
        <v>42767</v>
      </c>
      <c r="G57" s="25">
        <v>30</v>
      </c>
      <c r="H57" s="28">
        <f t="shared" si="16"/>
        <v>5000</v>
      </c>
      <c r="I57" s="28">
        <f t="shared" si="20"/>
        <v>0</v>
      </c>
      <c r="J57" s="28">
        <f t="shared" si="7"/>
        <v>250</v>
      </c>
      <c r="K57" s="28"/>
      <c r="L57" s="28">
        <f t="shared" si="9"/>
        <v>800</v>
      </c>
      <c r="M57" s="28"/>
      <c r="N57" s="28">
        <f>((1950+1441+3588+3328)/G$3)*G57</f>
        <v>10307</v>
      </c>
      <c r="O57" s="28"/>
      <c r="P57" s="28">
        <f t="shared" si="2"/>
        <v>16357</v>
      </c>
      <c r="Q57" s="29">
        <f t="shared" si="3"/>
        <v>600</v>
      </c>
      <c r="R57" s="29">
        <f t="shared" si="17"/>
        <v>287</v>
      </c>
      <c r="S57" s="30">
        <v>0</v>
      </c>
      <c r="T57" s="28">
        <v>0</v>
      </c>
      <c r="U57" s="28">
        <f t="shared" si="24"/>
        <v>887</v>
      </c>
      <c r="V57" s="28">
        <f t="shared" si="19"/>
        <v>15470</v>
      </c>
      <c r="W57" s="11"/>
    </row>
    <row r="58" spans="1:24" x14ac:dyDescent="0.2">
      <c r="A58" s="10" t="s">
        <v>267</v>
      </c>
      <c r="B58" s="11">
        <f t="shared" si="8"/>
        <v>49</v>
      </c>
      <c r="C58" s="11" t="s">
        <v>204</v>
      </c>
      <c r="D58" s="19" t="s">
        <v>50</v>
      </c>
      <c r="E58" s="19" t="s">
        <v>240</v>
      </c>
      <c r="F58" s="20">
        <v>42767</v>
      </c>
      <c r="G58" s="25">
        <v>30</v>
      </c>
      <c r="H58" s="13">
        <f t="shared" si="16"/>
        <v>5000</v>
      </c>
      <c r="I58" s="13">
        <f t="shared" si="20"/>
        <v>0</v>
      </c>
      <c r="J58" s="13">
        <f t="shared" si="7"/>
        <v>250</v>
      </c>
      <c r="L58" s="13">
        <f t="shared" si="9"/>
        <v>800</v>
      </c>
      <c r="N58" s="13">
        <f>((1950+1441+839+0)/G$3)*G58</f>
        <v>4230</v>
      </c>
      <c r="P58" s="13">
        <f t="shared" si="2"/>
        <v>10280</v>
      </c>
      <c r="Q58" s="12">
        <f t="shared" si="3"/>
        <v>600</v>
      </c>
      <c r="R58" s="12">
        <f t="shared" si="17"/>
        <v>180</v>
      </c>
      <c r="S58" s="21">
        <v>0</v>
      </c>
      <c r="T58" s="28">
        <v>0</v>
      </c>
      <c r="U58" s="13">
        <f t="shared" si="24"/>
        <v>780</v>
      </c>
      <c r="V58" s="13">
        <f t="shared" si="19"/>
        <v>9500</v>
      </c>
      <c r="W58" s="11">
        <v>9500</v>
      </c>
      <c r="X58" s="16">
        <f t="shared" ref="X58:X121" si="25">W58-V58</f>
        <v>0</v>
      </c>
    </row>
    <row r="59" spans="1:24" x14ac:dyDescent="0.2">
      <c r="A59" s="10" t="s">
        <v>268</v>
      </c>
      <c r="B59" s="11">
        <f t="shared" si="8"/>
        <v>50</v>
      </c>
      <c r="C59" s="11" t="s">
        <v>205</v>
      </c>
      <c r="D59" s="19" t="s">
        <v>50</v>
      </c>
      <c r="E59" s="19" t="s">
        <v>240</v>
      </c>
      <c r="F59" s="20">
        <v>42767</v>
      </c>
      <c r="G59" s="25">
        <v>30</v>
      </c>
      <c r="H59" s="13">
        <f t="shared" si="16"/>
        <v>5000</v>
      </c>
      <c r="I59" s="13">
        <f t="shared" si="20"/>
        <v>0</v>
      </c>
      <c r="J59" s="13">
        <f t="shared" si="7"/>
        <v>250</v>
      </c>
      <c r="L59" s="13">
        <f t="shared" si="9"/>
        <v>800</v>
      </c>
      <c r="N59" s="13">
        <f>((1950+1441+839+0)/G$3)*G59</f>
        <v>4230</v>
      </c>
      <c r="P59" s="13">
        <f t="shared" si="2"/>
        <v>10280</v>
      </c>
      <c r="Q59" s="12">
        <f t="shared" si="3"/>
        <v>600</v>
      </c>
      <c r="R59" s="12">
        <f t="shared" si="17"/>
        <v>180</v>
      </c>
      <c r="S59" s="21">
        <v>0</v>
      </c>
      <c r="T59" s="28">
        <v>0</v>
      </c>
      <c r="U59" s="13">
        <f t="shared" si="24"/>
        <v>780</v>
      </c>
      <c r="V59" s="13">
        <f t="shared" si="19"/>
        <v>9500</v>
      </c>
      <c r="W59" s="11">
        <v>9500</v>
      </c>
      <c r="X59" s="16">
        <f t="shared" si="25"/>
        <v>0</v>
      </c>
    </row>
    <row r="60" spans="1:24" x14ac:dyDescent="0.2">
      <c r="A60" s="10" t="s">
        <v>269</v>
      </c>
      <c r="B60" s="11">
        <f t="shared" si="8"/>
        <v>51</v>
      </c>
      <c r="C60" s="11" t="s">
        <v>206</v>
      </c>
      <c r="D60" s="19" t="s">
        <v>50</v>
      </c>
      <c r="E60" s="19" t="s">
        <v>238</v>
      </c>
      <c r="F60" s="20">
        <v>42767</v>
      </c>
      <c r="G60" s="25">
        <v>30</v>
      </c>
      <c r="H60" s="13">
        <f t="shared" si="16"/>
        <v>5000</v>
      </c>
      <c r="I60" s="13">
        <f t="shared" si="20"/>
        <v>0</v>
      </c>
      <c r="J60" s="13">
        <f t="shared" si="7"/>
        <v>250</v>
      </c>
      <c r="L60" s="13">
        <f t="shared" si="9"/>
        <v>800</v>
      </c>
      <c r="N60" s="13">
        <f>((1950+1441+1043+814+0)/G$3)*G60</f>
        <v>5248</v>
      </c>
      <c r="P60" s="13">
        <f t="shared" si="2"/>
        <v>11298</v>
      </c>
      <c r="Q60" s="12">
        <f t="shared" si="3"/>
        <v>600</v>
      </c>
      <c r="R60" s="12">
        <f t="shared" si="17"/>
        <v>198</v>
      </c>
      <c r="S60" s="21">
        <v>0</v>
      </c>
      <c r="T60" s="28">
        <v>0</v>
      </c>
      <c r="U60" s="13">
        <f t="shared" si="24"/>
        <v>798</v>
      </c>
      <c r="V60" s="13">
        <f t="shared" si="19"/>
        <v>10500</v>
      </c>
      <c r="W60" s="11">
        <v>10500</v>
      </c>
      <c r="X60" s="16">
        <f t="shared" si="25"/>
        <v>0</v>
      </c>
    </row>
    <row r="61" spans="1:24" x14ac:dyDescent="0.2">
      <c r="A61" s="10" t="s">
        <v>270</v>
      </c>
      <c r="B61" s="11">
        <f t="shared" si="8"/>
        <v>52</v>
      </c>
      <c r="C61" s="11" t="s">
        <v>207</v>
      </c>
      <c r="D61" s="19" t="s">
        <v>50</v>
      </c>
      <c r="E61" s="19" t="s">
        <v>238</v>
      </c>
      <c r="F61" s="20">
        <v>42767</v>
      </c>
      <c r="G61" s="25">
        <v>30</v>
      </c>
      <c r="H61" s="13">
        <f t="shared" si="16"/>
        <v>5000</v>
      </c>
      <c r="I61" s="13">
        <f t="shared" si="20"/>
        <v>0</v>
      </c>
      <c r="J61" s="13">
        <f t="shared" si="7"/>
        <v>250</v>
      </c>
      <c r="L61" s="13">
        <f t="shared" si="9"/>
        <v>800</v>
      </c>
      <c r="N61" s="13">
        <f>((1950+1441+1043+814+0)/G$3)*G61</f>
        <v>5248</v>
      </c>
      <c r="P61" s="13">
        <f t="shared" si="2"/>
        <v>11298</v>
      </c>
      <c r="Q61" s="12">
        <f t="shared" si="3"/>
        <v>600</v>
      </c>
      <c r="R61" s="12">
        <f t="shared" si="17"/>
        <v>198</v>
      </c>
      <c r="S61" s="21">
        <v>0</v>
      </c>
      <c r="T61" s="28">
        <v>0</v>
      </c>
      <c r="U61" s="13">
        <f t="shared" si="24"/>
        <v>798</v>
      </c>
      <c r="V61" s="13">
        <f t="shared" si="19"/>
        <v>10500</v>
      </c>
      <c r="W61" s="11">
        <v>10500</v>
      </c>
      <c r="X61" s="16">
        <f t="shared" si="25"/>
        <v>0</v>
      </c>
    </row>
    <row r="62" spans="1:24" x14ac:dyDescent="0.2">
      <c r="A62" s="10" t="s">
        <v>271</v>
      </c>
      <c r="B62" s="11">
        <f t="shared" si="8"/>
        <v>53</v>
      </c>
      <c r="C62" s="11" t="s">
        <v>208</v>
      </c>
      <c r="D62" s="19" t="s">
        <v>50</v>
      </c>
      <c r="E62" s="19" t="s">
        <v>242</v>
      </c>
      <c r="F62" s="20">
        <v>42767</v>
      </c>
      <c r="G62" s="25">
        <v>30</v>
      </c>
      <c r="H62" s="13">
        <f t="shared" si="16"/>
        <v>5000</v>
      </c>
      <c r="I62" s="13">
        <f t="shared" si="20"/>
        <v>0</v>
      </c>
      <c r="J62" s="13">
        <f t="shared" si="7"/>
        <v>250</v>
      </c>
      <c r="L62" s="13">
        <f t="shared" si="9"/>
        <v>800</v>
      </c>
      <c r="N62" s="13">
        <f>((1950+1441+839+0)/G$3)*G62</f>
        <v>4230</v>
      </c>
      <c r="P62" s="13">
        <f t="shared" si="2"/>
        <v>10280</v>
      </c>
      <c r="Q62" s="12">
        <f t="shared" si="3"/>
        <v>600</v>
      </c>
      <c r="R62" s="12">
        <f t="shared" si="17"/>
        <v>180</v>
      </c>
      <c r="S62" s="21">
        <v>0</v>
      </c>
      <c r="T62" s="28">
        <v>0</v>
      </c>
      <c r="U62" s="13">
        <f t="shared" si="24"/>
        <v>780</v>
      </c>
      <c r="V62" s="13">
        <f t="shared" si="19"/>
        <v>9500</v>
      </c>
      <c r="W62" s="11">
        <v>9500</v>
      </c>
      <c r="X62" s="16">
        <f t="shared" si="25"/>
        <v>0</v>
      </c>
    </row>
    <row r="63" spans="1:24" x14ac:dyDescent="0.2">
      <c r="A63" s="10" t="s">
        <v>272</v>
      </c>
      <c r="B63" s="11">
        <f t="shared" si="8"/>
        <v>54</v>
      </c>
      <c r="C63" s="11" t="s">
        <v>428</v>
      </c>
      <c r="D63" s="19" t="s">
        <v>50</v>
      </c>
      <c r="E63" s="19" t="s">
        <v>234</v>
      </c>
      <c r="F63" s="20">
        <v>42767</v>
      </c>
      <c r="G63" s="25">
        <v>30</v>
      </c>
      <c r="H63" s="13">
        <f t="shared" si="16"/>
        <v>5000</v>
      </c>
      <c r="I63" s="13">
        <f t="shared" si="20"/>
        <v>0</v>
      </c>
      <c r="J63" s="13">
        <f t="shared" si="7"/>
        <v>250</v>
      </c>
      <c r="L63" s="13">
        <f t="shared" si="9"/>
        <v>800</v>
      </c>
      <c r="N63" s="13">
        <f>((1950+1441+1043+814+0)/G$3)*G63</f>
        <v>5248</v>
      </c>
      <c r="P63" s="13">
        <f t="shared" si="2"/>
        <v>11298</v>
      </c>
      <c r="Q63" s="12">
        <f t="shared" si="3"/>
        <v>600</v>
      </c>
      <c r="R63" s="12">
        <f t="shared" si="17"/>
        <v>198</v>
      </c>
      <c r="S63" s="21">
        <v>0</v>
      </c>
      <c r="T63" s="28">
        <v>0</v>
      </c>
      <c r="U63" s="13">
        <f t="shared" si="24"/>
        <v>798</v>
      </c>
      <c r="V63" s="13">
        <f t="shared" si="19"/>
        <v>10500</v>
      </c>
      <c r="W63" s="11">
        <v>10500</v>
      </c>
      <c r="X63" s="16">
        <f t="shared" si="25"/>
        <v>0</v>
      </c>
    </row>
    <row r="64" spans="1:24" x14ac:dyDescent="0.2">
      <c r="A64" s="10" t="s">
        <v>273</v>
      </c>
      <c r="B64" s="11">
        <f t="shared" si="8"/>
        <v>55</v>
      </c>
      <c r="C64" s="11" t="s">
        <v>209</v>
      </c>
      <c r="D64" s="19" t="s">
        <v>50</v>
      </c>
      <c r="E64" s="19" t="s">
        <v>241</v>
      </c>
      <c r="F64" s="20">
        <v>42767</v>
      </c>
      <c r="G64" s="25">
        <v>30</v>
      </c>
      <c r="H64" s="13">
        <f t="shared" si="16"/>
        <v>5000</v>
      </c>
      <c r="I64" s="13">
        <f t="shared" si="20"/>
        <v>0</v>
      </c>
      <c r="J64" s="13">
        <f t="shared" si="7"/>
        <v>250</v>
      </c>
      <c r="L64" s="13">
        <f t="shared" si="9"/>
        <v>800</v>
      </c>
      <c r="N64" s="13">
        <f>((1950+1441+839+0)/G$3)*G64</f>
        <v>4230</v>
      </c>
      <c r="P64" s="13">
        <f t="shared" si="2"/>
        <v>10280</v>
      </c>
      <c r="Q64" s="12">
        <f t="shared" si="3"/>
        <v>600</v>
      </c>
      <c r="R64" s="12">
        <f t="shared" si="17"/>
        <v>180</v>
      </c>
      <c r="S64" s="21">
        <v>0</v>
      </c>
      <c r="T64" s="28">
        <v>0</v>
      </c>
      <c r="U64" s="13">
        <f t="shared" si="24"/>
        <v>780</v>
      </c>
      <c r="V64" s="13">
        <f t="shared" si="19"/>
        <v>9500</v>
      </c>
      <c r="W64" s="11">
        <v>9500</v>
      </c>
      <c r="X64" s="16">
        <f t="shared" si="25"/>
        <v>0</v>
      </c>
    </row>
    <row r="65" spans="1:24" x14ac:dyDescent="0.2">
      <c r="A65" s="10" t="s">
        <v>274</v>
      </c>
      <c r="B65" s="11">
        <f t="shared" si="8"/>
        <v>56</v>
      </c>
      <c r="C65" s="11" t="s">
        <v>210</v>
      </c>
      <c r="D65" s="19" t="s">
        <v>50</v>
      </c>
      <c r="E65" s="19" t="s">
        <v>484</v>
      </c>
      <c r="F65" s="20">
        <v>42767</v>
      </c>
      <c r="G65" s="25">
        <v>30</v>
      </c>
      <c r="H65" s="13">
        <f t="shared" si="16"/>
        <v>5000</v>
      </c>
      <c r="I65" s="13">
        <f t="shared" si="20"/>
        <v>0</v>
      </c>
      <c r="J65" s="13">
        <f t="shared" si="7"/>
        <v>250</v>
      </c>
      <c r="L65" s="13">
        <f t="shared" si="9"/>
        <v>800</v>
      </c>
      <c r="N65" s="13">
        <f>((1950+1441+839+0)/G$3)*G65</f>
        <v>4230</v>
      </c>
      <c r="P65" s="13">
        <f t="shared" si="2"/>
        <v>10280</v>
      </c>
      <c r="Q65" s="12">
        <f t="shared" si="3"/>
        <v>600</v>
      </c>
      <c r="R65" s="12">
        <f t="shared" si="17"/>
        <v>180</v>
      </c>
      <c r="S65" s="21">
        <v>0</v>
      </c>
      <c r="T65" s="28">
        <v>0</v>
      </c>
      <c r="U65" s="13">
        <f t="shared" si="24"/>
        <v>780</v>
      </c>
      <c r="V65" s="13">
        <f t="shared" si="19"/>
        <v>9500</v>
      </c>
      <c r="W65" s="11">
        <v>9500</v>
      </c>
      <c r="X65" s="16">
        <f t="shared" si="25"/>
        <v>0</v>
      </c>
    </row>
    <row r="66" spans="1:24" x14ac:dyDescent="0.2">
      <c r="A66" s="10" t="s">
        <v>275</v>
      </c>
      <c r="B66" s="11">
        <f t="shared" si="8"/>
        <v>57</v>
      </c>
      <c r="C66" s="11" t="s">
        <v>481</v>
      </c>
      <c r="D66" s="19" t="s">
        <v>50</v>
      </c>
      <c r="E66" s="19" t="s">
        <v>234</v>
      </c>
      <c r="F66" s="20">
        <v>42767</v>
      </c>
      <c r="G66" s="25">
        <v>30</v>
      </c>
      <c r="H66" s="13">
        <f t="shared" si="16"/>
        <v>5000</v>
      </c>
      <c r="I66" s="13">
        <f t="shared" si="20"/>
        <v>0</v>
      </c>
      <c r="J66" s="13">
        <f t="shared" si="7"/>
        <v>250</v>
      </c>
      <c r="L66" s="13">
        <f t="shared" si="9"/>
        <v>800</v>
      </c>
      <c r="N66" s="13">
        <f>((1950+1441+1043+814+0)/G$3)*G66</f>
        <v>5248</v>
      </c>
      <c r="P66" s="13">
        <f t="shared" si="2"/>
        <v>11298</v>
      </c>
      <c r="Q66" s="12">
        <f t="shared" si="3"/>
        <v>600</v>
      </c>
      <c r="R66" s="12">
        <f t="shared" si="17"/>
        <v>198</v>
      </c>
      <c r="S66" s="21">
        <v>0</v>
      </c>
      <c r="T66" s="28">
        <v>0</v>
      </c>
      <c r="U66" s="13">
        <f t="shared" si="24"/>
        <v>798</v>
      </c>
      <c r="V66" s="13">
        <f t="shared" si="19"/>
        <v>10500</v>
      </c>
      <c r="W66" s="11">
        <v>10500</v>
      </c>
      <c r="X66" s="16">
        <f t="shared" si="25"/>
        <v>0</v>
      </c>
    </row>
    <row r="67" spans="1:24" x14ac:dyDescent="0.2">
      <c r="A67" s="10" t="s">
        <v>276</v>
      </c>
      <c r="B67" s="11">
        <f t="shared" si="8"/>
        <v>58</v>
      </c>
      <c r="C67" s="11" t="s">
        <v>211</v>
      </c>
      <c r="D67" s="19" t="s">
        <v>50</v>
      </c>
      <c r="E67" s="19" t="s">
        <v>484</v>
      </c>
      <c r="F67" s="20">
        <v>42767</v>
      </c>
      <c r="G67" s="25">
        <v>30</v>
      </c>
      <c r="H67" s="13">
        <f t="shared" si="16"/>
        <v>5000</v>
      </c>
      <c r="I67" s="13">
        <f t="shared" si="20"/>
        <v>0</v>
      </c>
      <c r="J67" s="13">
        <f t="shared" si="7"/>
        <v>250</v>
      </c>
      <c r="L67" s="13">
        <f t="shared" si="9"/>
        <v>800</v>
      </c>
      <c r="N67" s="13">
        <f>((1950+1441+1043+0)/G$3)*G67</f>
        <v>4434</v>
      </c>
      <c r="P67" s="13">
        <f t="shared" si="2"/>
        <v>10484</v>
      </c>
      <c r="Q67" s="12">
        <f t="shared" si="3"/>
        <v>600</v>
      </c>
      <c r="R67" s="12">
        <f t="shared" si="17"/>
        <v>184</v>
      </c>
      <c r="S67" s="21">
        <v>0</v>
      </c>
      <c r="T67" s="28">
        <v>0</v>
      </c>
      <c r="U67" s="13">
        <f t="shared" si="24"/>
        <v>784</v>
      </c>
      <c r="V67" s="13">
        <f t="shared" si="19"/>
        <v>9700</v>
      </c>
      <c r="W67" s="11">
        <v>9500</v>
      </c>
      <c r="X67" s="16">
        <f t="shared" si="25"/>
        <v>-200</v>
      </c>
    </row>
    <row r="68" spans="1:24" x14ac:dyDescent="0.2">
      <c r="A68" s="10" t="s">
        <v>277</v>
      </c>
      <c r="B68" s="11">
        <f t="shared" si="8"/>
        <v>59</v>
      </c>
      <c r="C68" s="11" t="s">
        <v>212</v>
      </c>
      <c r="D68" s="19" t="s">
        <v>50</v>
      </c>
      <c r="E68" s="19" t="s">
        <v>484</v>
      </c>
      <c r="F68" s="20">
        <v>42767</v>
      </c>
      <c r="G68" s="25">
        <v>30</v>
      </c>
      <c r="H68" s="13">
        <f t="shared" si="16"/>
        <v>5000</v>
      </c>
      <c r="I68" s="13">
        <f t="shared" si="20"/>
        <v>0</v>
      </c>
      <c r="J68" s="13">
        <f t="shared" si="7"/>
        <v>250</v>
      </c>
      <c r="L68" s="13">
        <f t="shared" si="9"/>
        <v>800</v>
      </c>
      <c r="N68" s="13">
        <f>((1950+1441+1043+0)/G$3)*G68</f>
        <v>4434</v>
      </c>
      <c r="P68" s="13">
        <f t="shared" si="2"/>
        <v>10484</v>
      </c>
      <c r="Q68" s="12">
        <f t="shared" si="3"/>
        <v>600</v>
      </c>
      <c r="R68" s="12">
        <f t="shared" si="17"/>
        <v>184</v>
      </c>
      <c r="S68" s="21">
        <v>0</v>
      </c>
      <c r="T68" s="28">
        <v>0</v>
      </c>
      <c r="U68" s="13">
        <f t="shared" si="24"/>
        <v>784</v>
      </c>
      <c r="V68" s="13">
        <f t="shared" si="19"/>
        <v>9700</v>
      </c>
      <c r="W68" s="11">
        <v>9500</v>
      </c>
      <c r="X68" s="16">
        <f t="shared" si="25"/>
        <v>-200</v>
      </c>
    </row>
    <row r="69" spans="1:24" x14ac:dyDescent="0.2">
      <c r="A69" s="10" t="s">
        <v>278</v>
      </c>
      <c r="B69" s="11">
        <f t="shared" si="8"/>
        <v>60</v>
      </c>
      <c r="C69" s="11" t="s">
        <v>213</v>
      </c>
      <c r="D69" s="19" t="s">
        <v>50</v>
      </c>
      <c r="E69" s="19" t="s">
        <v>234</v>
      </c>
      <c r="F69" s="20">
        <v>42767</v>
      </c>
      <c r="G69" s="25">
        <v>30</v>
      </c>
      <c r="H69" s="13">
        <f t="shared" si="16"/>
        <v>5000</v>
      </c>
      <c r="I69" s="13">
        <f t="shared" si="20"/>
        <v>0</v>
      </c>
      <c r="J69" s="13">
        <f t="shared" si="7"/>
        <v>250</v>
      </c>
      <c r="L69" s="13">
        <f t="shared" si="9"/>
        <v>800</v>
      </c>
      <c r="N69" s="13">
        <f>((1950+1441+1043+814+0)/G$3)*G69</f>
        <v>5248</v>
      </c>
      <c r="P69" s="13">
        <f t="shared" si="2"/>
        <v>11298</v>
      </c>
      <c r="Q69" s="12">
        <f t="shared" si="3"/>
        <v>600</v>
      </c>
      <c r="R69" s="12">
        <f t="shared" si="17"/>
        <v>198</v>
      </c>
      <c r="S69" s="21">
        <v>0</v>
      </c>
      <c r="T69" s="28">
        <v>0</v>
      </c>
      <c r="U69" s="13">
        <f t="shared" si="24"/>
        <v>798</v>
      </c>
      <c r="V69" s="13">
        <f t="shared" si="19"/>
        <v>10500</v>
      </c>
      <c r="W69" s="11">
        <v>10500</v>
      </c>
      <c r="X69" s="16">
        <f t="shared" si="25"/>
        <v>0</v>
      </c>
    </row>
    <row r="70" spans="1:24" x14ac:dyDescent="0.2">
      <c r="A70" s="10" t="s">
        <v>279</v>
      </c>
      <c r="B70" s="11">
        <f t="shared" si="8"/>
        <v>61</v>
      </c>
      <c r="C70" s="11" t="s">
        <v>214</v>
      </c>
      <c r="D70" s="19" t="s">
        <v>50</v>
      </c>
      <c r="E70" s="19" t="s">
        <v>234</v>
      </c>
      <c r="F70" s="20">
        <v>42767</v>
      </c>
      <c r="G70" s="25">
        <v>30</v>
      </c>
      <c r="H70" s="13">
        <f t="shared" si="16"/>
        <v>5000</v>
      </c>
      <c r="I70" s="13">
        <f t="shared" si="20"/>
        <v>0</v>
      </c>
      <c r="J70" s="13">
        <f t="shared" si="7"/>
        <v>250</v>
      </c>
      <c r="L70" s="13">
        <f t="shared" si="9"/>
        <v>800</v>
      </c>
      <c r="N70" s="13">
        <f>((1950+1441+1043+814+0)/G$3)*G70</f>
        <v>5248</v>
      </c>
      <c r="P70" s="13">
        <f t="shared" ref="P70:P133" si="26">SUM(H70:O70)</f>
        <v>11298</v>
      </c>
      <c r="Q70" s="12">
        <f t="shared" ref="Q70:Q133" si="27">(H70+I70)*12%</f>
        <v>600</v>
      </c>
      <c r="R70" s="12">
        <f t="shared" si="17"/>
        <v>198</v>
      </c>
      <c r="S70" s="21">
        <v>0</v>
      </c>
      <c r="T70" s="28">
        <v>0</v>
      </c>
      <c r="U70" s="13">
        <f t="shared" si="24"/>
        <v>798</v>
      </c>
      <c r="V70" s="13">
        <f t="shared" si="19"/>
        <v>10500</v>
      </c>
      <c r="W70" s="11">
        <v>10500</v>
      </c>
      <c r="X70" s="16">
        <f t="shared" si="25"/>
        <v>0</v>
      </c>
    </row>
    <row r="71" spans="1:24" x14ac:dyDescent="0.2">
      <c r="A71" s="10" t="s">
        <v>280</v>
      </c>
      <c r="B71" s="11">
        <f t="shared" si="8"/>
        <v>62</v>
      </c>
      <c r="C71" s="11" t="s">
        <v>215</v>
      </c>
      <c r="D71" s="19" t="s">
        <v>50</v>
      </c>
      <c r="E71" s="19" t="s">
        <v>238</v>
      </c>
      <c r="F71" s="20">
        <v>42767</v>
      </c>
      <c r="G71" s="25">
        <v>30</v>
      </c>
      <c r="H71" s="13">
        <f t="shared" si="16"/>
        <v>5000</v>
      </c>
      <c r="I71" s="13">
        <f t="shared" si="20"/>
        <v>0</v>
      </c>
      <c r="J71" s="13">
        <f t="shared" ref="J71:J134" si="28">(H71+I71)*5%</f>
        <v>250</v>
      </c>
      <c r="L71" s="13">
        <f t="shared" si="9"/>
        <v>800</v>
      </c>
      <c r="N71" s="13">
        <f>((1950+1441+1043+814+0)/G$3)*G71</f>
        <v>5248</v>
      </c>
      <c r="P71" s="13">
        <f t="shared" si="26"/>
        <v>11298</v>
      </c>
      <c r="Q71" s="12">
        <f t="shared" si="27"/>
        <v>600</v>
      </c>
      <c r="R71" s="12">
        <f t="shared" si="17"/>
        <v>198</v>
      </c>
      <c r="S71" s="21">
        <v>0</v>
      </c>
      <c r="T71" s="28">
        <v>0</v>
      </c>
      <c r="U71" s="13">
        <f t="shared" si="24"/>
        <v>798</v>
      </c>
      <c r="V71" s="13">
        <f t="shared" si="19"/>
        <v>10500</v>
      </c>
      <c r="W71" s="11">
        <v>10500</v>
      </c>
      <c r="X71" s="16">
        <f t="shared" si="25"/>
        <v>0</v>
      </c>
    </row>
    <row r="72" spans="1:24" x14ac:dyDescent="0.2">
      <c r="A72" s="10" t="s">
        <v>281</v>
      </c>
      <c r="B72" s="11">
        <f t="shared" si="8"/>
        <v>63</v>
      </c>
      <c r="C72" s="11" t="s">
        <v>216</v>
      </c>
      <c r="D72" s="19" t="s">
        <v>50</v>
      </c>
      <c r="E72" s="19" t="s">
        <v>484</v>
      </c>
      <c r="F72" s="20">
        <v>42767</v>
      </c>
      <c r="G72" s="25">
        <v>30</v>
      </c>
      <c r="H72" s="13">
        <f t="shared" si="16"/>
        <v>5000</v>
      </c>
      <c r="I72" s="13">
        <f t="shared" si="20"/>
        <v>0</v>
      </c>
      <c r="J72" s="13">
        <f t="shared" si="28"/>
        <v>250</v>
      </c>
      <c r="L72" s="13">
        <f t="shared" si="9"/>
        <v>800</v>
      </c>
      <c r="N72" s="13">
        <f>((1950+1441+839+0)/G$3)*G72</f>
        <v>4230</v>
      </c>
      <c r="P72" s="13">
        <f t="shared" si="26"/>
        <v>10280</v>
      </c>
      <c r="Q72" s="12">
        <f t="shared" si="27"/>
        <v>600</v>
      </c>
      <c r="R72" s="12">
        <f t="shared" si="17"/>
        <v>180</v>
      </c>
      <c r="S72" s="21">
        <v>0</v>
      </c>
      <c r="T72" s="28">
        <v>0</v>
      </c>
      <c r="U72" s="13">
        <f t="shared" si="24"/>
        <v>780</v>
      </c>
      <c r="V72" s="13">
        <f t="shared" si="19"/>
        <v>9500</v>
      </c>
      <c r="W72" s="11">
        <v>9500</v>
      </c>
      <c r="X72" s="16">
        <f t="shared" si="25"/>
        <v>0</v>
      </c>
    </row>
    <row r="73" spans="1:24" x14ac:dyDescent="0.2">
      <c r="A73" s="10" t="s">
        <v>282</v>
      </c>
      <c r="B73" s="11">
        <f t="shared" ref="B73:B136" si="29">B72+1</f>
        <v>64</v>
      </c>
      <c r="C73" s="11" t="s">
        <v>217</v>
      </c>
      <c r="D73" s="19" t="s">
        <v>50</v>
      </c>
      <c r="E73" s="19" t="s">
        <v>484</v>
      </c>
      <c r="F73" s="20">
        <v>42767</v>
      </c>
      <c r="G73" s="25">
        <v>30</v>
      </c>
      <c r="H73" s="13">
        <f t="shared" si="16"/>
        <v>5000</v>
      </c>
      <c r="I73" s="13">
        <f t="shared" si="20"/>
        <v>0</v>
      </c>
      <c r="J73" s="13">
        <f t="shared" si="28"/>
        <v>250</v>
      </c>
      <c r="L73" s="13">
        <f t="shared" si="9"/>
        <v>800</v>
      </c>
      <c r="N73" s="13">
        <f>((1950+1441+839+0)/G$3)*G73</f>
        <v>4230</v>
      </c>
      <c r="P73" s="13">
        <f t="shared" si="26"/>
        <v>10280</v>
      </c>
      <c r="Q73" s="12">
        <f t="shared" si="27"/>
        <v>600</v>
      </c>
      <c r="R73" s="12">
        <f t="shared" si="17"/>
        <v>180</v>
      </c>
      <c r="S73" s="21">
        <v>0</v>
      </c>
      <c r="T73" s="28">
        <v>0</v>
      </c>
      <c r="U73" s="13">
        <f t="shared" si="24"/>
        <v>780</v>
      </c>
      <c r="V73" s="13">
        <f t="shared" si="19"/>
        <v>9500</v>
      </c>
      <c r="W73" s="11">
        <v>9500</v>
      </c>
      <c r="X73" s="16">
        <f t="shared" si="25"/>
        <v>0</v>
      </c>
    </row>
    <row r="74" spans="1:24" x14ac:dyDescent="0.2">
      <c r="A74" s="10" t="s">
        <v>283</v>
      </c>
      <c r="B74" s="11">
        <f t="shared" si="29"/>
        <v>65</v>
      </c>
      <c r="C74" s="11" t="s">
        <v>218</v>
      </c>
      <c r="D74" s="19" t="s">
        <v>50</v>
      </c>
      <c r="E74" s="19" t="s">
        <v>242</v>
      </c>
      <c r="F74" s="20">
        <v>42767</v>
      </c>
      <c r="G74" s="25">
        <v>30</v>
      </c>
      <c r="H74" s="13">
        <f t="shared" si="16"/>
        <v>5000</v>
      </c>
      <c r="I74" s="13">
        <f t="shared" si="20"/>
        <v>0</v>
      </c>
      <c r="J74" s="13">
        <f t="shared" si="28"/>
        <v>250</v>
      </c>
      <c r="L74" s="13">
        <f t="shared" ref="L74:L137" si="30">((800)/G$3)*G74</f>
        <v>800</v>
      </c>
      <c r="N74" s="13">
        <f>((1950+1441+839+0)/G$3)*G74</f>
        <v>4230</v>
      </c>
      <c r="P74" s="13">
        <f t="shared" si="26"/>
        <v>10280</v>
      </c>
      <c r="Q74" s="12">
        <f t="shared" si="27"/>
        <v>600</v>
      </c>
      <c r="R74" s="12">
        <f t="shared" si="17"/>
        <v>180</v>
      </c>
      <c r="S74" s="21">
        <v>0</v>
      </c>
      <c r="T74" s="28">
        <v>0</v>
      </c>
      <c r="U74" s="13">
        <f t="shared" si="24"/>
        <v>780</v>
      </c>
      <c r="V74" s="13">
        <f t="shared" si="19"/>
        <v>9500</v>
      </c>
      <c r="W74" s="11">
        <v>9500</v>
      </c>
      <c r="X74" s="16">
        <f t="shared" si="25"/>
        <v>0</v>
      </c>
    </row>
    <row r="75" spans="1:24" x14ac:dyDescent="0.2">
      <c r="A75" s="10" t="s">
        <v>296</v>
      </c>
      <c r="B75" s="11">
        <f t="shared" si="29"/>
        <v>66</v>
      </c>
      <c r="C75" s="11" t="s">
        <v>349</v>
      </c>
      <c r="D75" s="19" t="s">
        <v>50</v>
      </c>
      <c r="E75" s="19" t="s">
        <v>240</v>
      </c>
      <c r="F75" s="20">
        <v>42795</v>
      </c>
      <c r="G75" s="25">
        <v>30</v>
      </c>
      <c r="H75" s="13">
        <f t="shared" si="16"/>
        <v>5000</v>
      </c>
      <c r="I75" s="13">
        <f t="shared" si="20"/>
        <v>0</v>
      </c>
      <c r="J75" s="13">
        <f t="shared" si="28"/>
        <v>250</v>
      </c>
      <c r="L75" s="13">
        <f t="shared" si="30"/>
        <v>800</v>
      </c>
      <c r="N75" s="13">
        <f>((1950+1441+3384+1018+0)/G$3)*G75</f>
        <v>7793</v>
      </c>
      <c r="P75" s="13">
        <f t="shared" si="26"/>
        <v>13843</v>
      </c>
      <c r="Q75" s="12">
        <f t="shared" si="27"/>
        <v>600</v>
      </c>
      <c r="R75" s="12">
        <f t="shared" si="17"/>
        <v>243</v>
      </c>
      <c r="S75" s="21">
        <v>0</v>
      </c>
      <c r="T75" s="28">
        <v>0</v>
      </c>
      <c r="U75" s="13">
        <f t="shared" si="24"/>
        <v>843</v>
      </c>
      <c r="V75" s="13">
        <f t="shared" si="19"/>
        <v>13000</v>
      </c>
      <c r="W75" s="11">
        <v>13000</v>
      </c>
      <c r="X75" s="16">
        <f t="shared" si="25"/>
        <v>0</v>
      </c>
    </row>
    <row r="76" spans="1:24" x14ac:dyDescent="0.2">
      <c r="A76" s="10" t="s">
        <v>297</v>
      </c>
      <c r="B76" s="11">
        <f t="shared" si="29"/>
        <v>67</v>
      </c>
      <c r="C76" s="11" t="s">
        <v>254</v>
      </c>
      <c r="D76" s="19" t="s">
        <v>50</v>
      </c>
      <c r="E76" s="19" t="s">
        <v>240</v>
      </c>
      <c r="F76" s="20">
        <v>42795</v>
      </c>
      <c r="G76" s="25">
        <v>30</v>
      </c>
      <c r="H76" s="13">
        <f t="shared" si="16"/>
        <v>5000</v>
      </c>
      <c r="I76" s="13">
        <f t="shared" si="20"/>
        <v>0</v>
      </c>
      <c r="J76" s="13">
        <f t="shared" si="28"/>
        <v>250</v>
      </c>
      <c r="L76" s="13">
        <f t="shared" si="30"/>
        <v>800</v>
      </c>
      <c r="N76" s="13">
        <f>((1950+1441-178+3562+0)/G$3)*G76</f>
        <v>6775</v>
      </c>
      <c r="P76" s="13">
        <f t="shared" si="26"/>
        <v>12825</v>
      </c>
      <c r="Q76" s="12">
        <f t="shared" si="27"/>
        <v>600</v>
      </c>
      <c r="R76" s="12">
        <f t="shared" si="17"/>
        <v>225</v>
      </c>
      <c r="S76" s="21">
        <v>0</v>
      </c>
      <c r="T76" s="28">
        <v>0</v>
      </c>
      <c r="U76" s="13">
        <f t="shared" ref="U76" si="31">SUM(Q76:T76)</f>
        <v>825</v>
      </c>
      <c r="V76" s="13">
        <f t="shared" si="19"/>
        <v>12000</v>
      </c>
      <c r="W76" s="11">
        <v>12000</v>
      </c>
      <c r="X76" s="16">
        <f t="shared" si="25"/>
        <v>0</v>
      </c>
    </row>
    <row r="77" spans="1:24" s="32" customFormat="1" x14ac:dyDescent="0.2">
      <c r="A77" s="33" t="s">
        <v>298</v>
      </c>
      <c r="B77" s="32">
        <f t="shared" si="29"/>
        <v>68</v>
      </c>
      <c r="C77" s="32" t="s">
        <v>255</v>
      </c>
      <c r="D77" s="34" t="s">
        <v>50</v>
      </c>
      <c r="E77" s="34" t="s">
        <v>484</v>
      </c>
      <c r="F77" s="35">
        <v>42795</v>
      </c>
      <c r="G77" s="32">
        <v>30</v>
      </c>
      <c r="H77" s="36">
        <f t="shared" si="16"/>
        <v>5000</v>
      </c>
      <c r="I77" s="36">
        <f t="shared" si="20"/>
        <v>0</v>
      </c>
      <c r="J77" s="36">
        <f t="shared" si="28"/>
        <v>250</v>
      </c>
      <c r="K77" s="36"/>
      <c r="L77" s="36">
        <f t="shared" si="30"/>
        <v>800</v>
      </c>
      <c r="M77" s="36"/>
      <c r="N77" s="36">
        <f>((1950+1441+839+0)/G$3)*G77</f>
        <v>4230</v>
      </c>
      <c r="O77" s="36"/>
      <c r="P77" s="36">
        <f t="shared" si="26"/>
        <v>10280</v>
      </c>
      <c r="Q77" s="37">
        <f t="shared" si="27"/>
        <v>600</v>
      </c>
      <c r="R77" s="37">
        <f t="shared" si="17"/>
        <v>180</v>
      </c>
      <c r="S77" s="38">
        <v>0</v>
      </c>
      <c r="T77" s="36">
        <v>0</v>
      </c>
      <c r="U77" s="36">
        <f t="shared" ref="U77:U85" si="32">SUM(Q77:T77)</f>
        <v>780</v>
      </c>
      <c r="V77" s="36">
        <f t="shared" si="19"/>
        <v>9500</v>
      </c>
      <c r="W77" s="11">
        <v>9500</v>
      </c>
      <c r="X77" s="39">
        <f t="shared" si="25"/>
        <v>0</v>
      </c>
    </row>
    <row r="78" spans="1:24" x14ac:dyDescent="0.2">
      <c r="A78" s="10" t="s">
        <v>299</v>
      </c>
      <c r="B78" s="11">
        <f t="shared" si="29"/>
        <v>69</v>
      </c>
      <c r="C78" s="11" t="s">
        <v>256</v>
      </c>
      <c r="D78" s="19" t="s">
        <v>50</v>
      </c>
      <c r="E78" s="19" t="s">
        <v>484</v>
      </c>
      <c r="F78" s="20">
        <v>42795</v>
      </c>
      <c r="G78" s="25">
        <v>30</v>
      </c>
      <c r="H78" s="13">
        <f t="shared" si="16"/>
        <v>5000</v>
      </c>
      <c r="I78" s="13">
        <f t="shared" si="20"/>
        <v>0</v>
      </c>
      <c r="J78" s="13">
        <f t="shared" si="28"/>
        <v>250</v>
      </c>
      <c r="L78" s="13">
        <f t="shared" si="30"/>
        <v>800</v>
      </c>
      <c r="N78" s="13">
        <f>((1950+1441+839+0)/G$3)*G78</f>
        <v>4230</v>
      </c>
      <c r="P78" s="13">
        <f t="shared" si="26"/>
        <v>10280</v>
      </c>
      <c r="Q78" s="12">
        <f t="shared" si="27"/>
        <v>600</v>
      </c>
      <c r="R78" s="12">
        <f t="shared" si="17"/>
        <v>180</v>
      </c>
      <c r="S78" s="21">
        <v>0</v>
      </c>
      <c r="T78" s="28">
        <v>0</v>
      </c>
      <c r="U78" s="13">
        <f t="shared" si="32"/>
        <v>780</v>
      </c>
      <c r="V78" s="13">
        <f t="shared" si="19"/>
        <v>9500</v>
      </c>
      <c r="W78" s="11">
        <v>9500</v>
      </c>
      <c r="X78" s="16">
        <f t="shared" si="25"/>
        <v>0</v>
      </c>
    </row>
    <row r="79" spans="1:24" x14ac:dyDescent="0.2">
      <c r="A79" s="10" t="s">
        <v>350</v>
      </c>
      <c r="B79" s="11">
        <f t="shared" si="29"/>
        <v>70</v>
      </c>
      <c r="C79" s="11" t="s">
        <v>487</v>
      </c>
      <c r="D79" s="19" t="s">
        <v>50</v>
      </c>
      <c r="E79" s="19" t="s">
        <v>484</v>
      </c>
      <c r="F79" s="20">
        <v>42795</v>
      </c>
      <c r="G79" s="25">
        <v>30</v>
      </c>
      <c r="H79" s="13">
        <f t="shared" si="16"/>
        <v>5000</v>
      </c>
      <c r="I79" s="13">
        <f t="shared" si="20"/>
        <v>0</v>
      </c>
      <c r="J79" s="13">
        <f t="shared" si="28"/>
        <v>250</v>
      </c>
      <c r="L79" s="13">
        <f t="shared" si="30"/>
        <v>800</v>
      </c>
      <c r="N79" s="13">
        <f>((1950+1441+839+0)/G$3)*G79</f>
        <v>4230</v>
      </c>
      <c r="P79" s="13">
        <f t="shared" si="26"/>
        <v>10280</v>
      </c>
      <c r="Q79" s="12">
        <f t="shared" si="27"/>
        <v>600</v>
      </c>
      <c r="R79" s="12">
        <f t="shared" si="17"/>
        <v>180</v>
      </c>
      <c r="S79" s="21">
        <v>0</v>
      </c>
      <c r="T79" s="28">
        <v>0</v>
      </c>
      <c r="U79" s="13">
        <f t="shared" si="32"/>
        <v>780</v>
      </c>
      <c r="V79" s="13">
        <f t="shared" si="19"/>
        <v>9500</v>
      </c>
      <c r="W79" s="11">
        <v>9500</v>
      </c>
      <c r="X79" s="16">
        <f t="shared" si="25"/>
        <v>0</v>
      </c>
    </row>
    <row r="80" spans="1:24" x14ac:dyDescent="0.2">
      <c r="A80" s="10" t="s">
        <v>300</v>
      </c>
      <c r="B80" s="11">
        <f t="shared" si="29"/>
        <v>71</v>
      </c>
      <c r="C80" s="11" t="s">
        <v>257</v>
      </c>
      <c r="D80" s="19" t="s">
        <v>50</v>
      </c>
      <c r="E80" s="19" t="s">
        <v>484</v>
      </c>
      <c r="F80" s="20">
        <v>42795</v>
      </c>
      <c r="G80" s="25">
        <v>30</v>
      </c>
      <c r="H80" s="13">
        <f t="shared" si="16"/>
        <v>5000</v>
      </c>
      <c r="I80" s="13">
        <f t="shared" si="20"/>
        <v>0</v>
      </c>
      <c r="J80" s="13">
        <f t="shared" si="28"/>
        <v>250</v>
      </c>
      <c r="L80" s="13">
        <f t="shared" si="30"/>
        <v>800</v>
      </c>
      <c r="N80" s="13">
        <f>((1950+1441+839+0)/G$3)*G80</f>
        <v>4230</v>
      </c>
      <c r="P80" s="13">
        <f t="shared" si="26"/>
        <v>10280</v>
      </c>
      <c r="Q80" s="12">
        <f t="shared" si="27"/>
        <v>600</v>
      </c>
      <c r="R80" s="12">
        <f t="shared" si="17"/>
        <v>180</v>
      </c>
      <c r="S80" s="21">
        <v>0</v>
      </c>
      <c r="T80" s="28">
        <v>0</v>
      </c>
      <c r="U80" s="13">
        <f t="shared" si="32"/>
        <v>780</v>
      </c>
      <c r="V80" s="13">
        <f t="shared" si="19"/>
        <v>9500</v>
      </c>
      <c r="W80" s="11">
        <v>9500</v>
      </c>
      <c r="X80" s="16">
        <f t="shared" si="25"/>
        <v>0</v>
      </c>
    </row>
    <row r="81" spans="1:24" x14ac:dyDescent="0.2">
      <c r="A81" s="10" t="s">
        <v>301</v>
      </c>
      <c r="B81" s="11">
        <f t="shared" si="29"/>
        <v>72</v>
      </c>
      <c r="C81" s="11" t="s">
        <v>258</v>
      </c>
      <c r="D81" s="19" t="s">
        <v>50</v>
      </c>
      <c r="E81" s="19" t="s">
        <v>240</v>
      </c>
      <c r="F81" s="20">
        <v>42795</v>
      </c>
      <c r="G81" s="25">
        <v>30</v>
      </c>
      <c r="H81" s="13">
        <f t="shared" si="16"/>
        <v>5000</v>
      </c>
      <c r="I81" s="13">
        <f t="shared" si="20"/>
        <v>0</v>
      </c>
      <c r="J81" s="13">
        <f t="shared" si="28"/>
        <v>250</v>
      </c>
      <c r="L81" s="13">
        <f t="shared" si="30"/>
        <v>800</v>
      </c>
      <c r="N81" s="13">
        <f>((1950+1441+839+0)/G$3)*G81</f>
        <v>4230</v>
      </c>
      <c r="P81" s="13">
        <f t="shared" si="26"/>
        <v>10280</v>
      </c>
      <c r="Q81" s="12">
        <f t="shared" si="27"/>
        <v>600</v>
      </c>
      <c r="R81" s="12">
        <f t="shared" si="17"/>
        <v>180</v>
      </c>
      <c r="S81" s="21">
        <v>0</v>
      </c>
      <c r="T81" s="28">
        <v>0</v>
      </c>
      <c r="U81" s="13">
        <f t="shared" si="32"/>
        <v>780</v>
      </c>
      <c r="V81" s="13">
        <f t="shared" si="19"/>
        <v>9500</v>
      </c>
      <c r="W81" s="11">
        <v>9500</v>
      </c>
      <c r="X81" s="16">
        <f t="shared" si="25"/>
        <v>0</v>
      </c>
    </row>
    <row r="82" spans="1:24" x14ac:dyDescent="0.2">
      <c r="A82" s="10" t="s">
        <v>302</v>
      </c>
      <c r="B82" s="11">
        <f t="shared" si="29"/>
        <v>73</v>
      </c>
      <c r="C82" s="11" t="s">
        <v>259</v>
      </c>
      <c r="D82" s="19" t="s">
        <v>50</v>
      </c>
      <c r="E82" s="19" t="s">
        <v>234</v>
      </c>
      <c r="F82" s="20">
        <v>42795</v>
      </c>
      <c r="G82" s="25">
        <v>30</v>
      </c>
      <c r="H82" s="13">
        <f t="shared" si="16"/>
        <v>5000</v>
      </c>
      <c r="I82" s="13">
        <f t="shared" si="20"/>
        <v>0</v>
      </c>
      <c r="J82" s="13">
        <f t="shared" si="28"/>
        <v>250</v>
      </c>
      <c r="L82" s="13">
        <f t="shared" si="30"/>
        <v>800</v>
      </c>
      <c r="N82" s="13">
        <f>((1950+1441+839+1018+0)/G$3)*G82</f>
        <v>5248</v>
      </c>
      <c r="P82" s="13">
        <f t="shared" si="26"/>
        <v>11298</v>
      </c>
      <c r="Q82" s="12">
        <f t="shared" si="27"/>
        <v>600</v>
      </c>
      <c r="R82" s="12">
        <f t="shared" si="17"/>
        <v>198</v>
      </c>
      <c r="S82" s="21">
        <v>0</v>
      </c>
      <c r="T82" s="28">
        <v>0</v>
      </c>
      <c r="U82" s="13">
        <f t="shared" si="32"/>
        <v>798</v>
      </c>
      <c r="V82" s="13">
        <f t="shared" si="19"/>
        <v>10500</v>
      </c>
      <c r="W82" s="11">
        <v>10500</v>
      </c>
      <c r="X82" s="16">
        <f t="shared" si="25"/>
        <v>0</v>
      </c>
    </row>
    <row r="83" spans="1:24" x14ac:dyDescent="0.2">
      <c r="A83" s="10" t="s">
        <v>303</v>
      </c>
      <c r="B83" s="11">
        <f t="shared" si="29"/>
        <v>74</v>
      </c>
      <c r="C83" s="11" t="s">
        <v>260</v>
      </c>
      <c r="D83" s="19" t="s">
        <v>50</v>
      </c>
      <c r="E83" s="19" t="s">
        <v>234</v>
      </c>
      <c r="F83" s="20">
        <v>42795</v>
      </c>
      <c r="G83" s="25">
        <v>30</v>
      </c>
      <c r="H83" s="13">
        <f t="shared" si="16"/>
        <v>5000</v>
      </c>
      <c r="I83" s="13">
        <f t="shared" si="20"/>
        <v>0</v>
      </c>
      <c r="J83" s="13">
        <f t="shared" si="28"/>
        <v>250</v>
      </c>
      <c r="L83" s="13">
        <f t="shared" si="30"/>
        <v>800</v>
      </c>
      <c r="N83" s="13">
        <f>((1950+1441+839+1018+0)/G$3)*G83</f>
        <v>5248</v>
      </c>
      <c r="P83" s="13">
        <f t="shared" si="26"/>
        <v>11298</v>
      </c>
      <c r="Q83" s="12">
        <f t="shared" si="27"/>
        <v>600</v>
      </c>
      <c r="R83" s="12">
        <f t="shared" si="17"/>
        <v>198</v>
      </c>
      <c r="S83" s="21">
        <v>0</v>
      </c>
      <c r="T83" s="28">
        <v>0</v>
      </c>
      <c r="U83" s="13">
        <f t="shared" si="32"/>
        <v>798</v>
      </c>
      <c r="V83" s="13">
        <f t="shared" si="19"/>
        <v>10500</v>
      </c>
      <c r="W83" s="11">
        <v>10500</v>
      </c>
      <c r="X83" s="16">
        <f t="shared" si="25"/>
        <v>0</v>
      </c>
    </row>
    <row r="84" spans="1:24" x14ac:dyDescent="0.2">
      <c r="A84" s="10" t="s">
        <v>304</v>
      </c>
      <c r="B84" s="11">
        <f t="shared" si="29"/>
        <v>75</v>
      </c>
      <c r="C84" s="11" t="s">
        <v>261</v>
      </c>
      <c r="D84" s="19" t="s">
        <v>50</v>
      </c>
      <c r="E84" s="19" t="s">
        <v>234</v>
      </c>
      <c r="F84" s="20">
        <v>42795</v>
      </c>
      <c r="G84" s="25">
        <v>30</v>
      </c>
      <c r="H84" s="13">
        <f t="shared" si="16"/>
        <v>5000</v>
      </c>
      <c r="I84" s="13">
        <f t="shared" si="20"/>
        <v>0</v>
      </c>
      <c r="J84" s="13">
        <f t="shared" si="28"/>
        <v>250</v>
      </c>
      <c r="L84" s="13">
        <f t="shared" si="30"/>
        <v>800</v>
      </c>
      <c r="N84" s="13">
        <f>((1950+1441+839+1018+0)/G$3)*G84</f>
        <v>5248</v>
      </c>
      <c r="P84" s="13">
        <f t="shared" si="26"/>
        <v>11298</v>
      </c>
      <c r="Q84" s="12">
        <f t="shared" si="27"/>
        <v>600</v>
      </c>
      <c r="R84" s="12">
        <f t="shared" si="17"/>
        <v>198</v>
      </c>
      <c r="S84" s="21">
        <v>0</v>
      </c>
      <c r="T84" s="28">
        <v>0</v>
      </c>
      <c r="U84" s="13">
        <f t="shared" si="32"/>
        <v>798</v>
      </c>
      <c r="V84" s="13">
        <f t="shared" si="19"/>
        <v>10500</v>
      </c>
      <c r="W84" s="11">
        <v>10500</v>
      </c>
      <c r="X84" s="16">
        <f t="shared" si="25"/>
        <v>0</v>
      </c>
    </row>
    <row r="85" spans="1:24" x14ac:dyDescent="0.2">
      <c r="A85" s="10" t="s">
        <v>305</v>
      </c>
      <c r="B85" s="11">
        <f t="shared" si="29"/>
        <v>76</v>
      </c>
      <c r="C85" s="11" t="s">
        <v>262</v>
      </c>
      <c r="D85" s="19" t="s">
        <v>50</v>
      </c>
      <c r="E85" s="19" t="s">
        <v>484</v>
      </c>
      <c r="F85" s="20">
        <v>42795</v>
      </c>
      <c r="G85" s="25">
        <v>30</v>
      </c>
      <c r="H85" s="13">
        <f t="shared" si="16"/>
        <v>5000</v>
      </c>
      <c r="I85" s="13">
        <f t="shared" si="20"/>
        <v>0</v>
      </c>
      <c r="J85" s="13">
        <f t="shared" si="28"/>
        <v>250</v>
      </c>
      <c r="L85" s="13">
        <f t="shared" si="30"/>
        <v>800</v>
      </c>
      <c r="N85" s="13">
        <f>((1950+1441+839+0)/G$3)*G85</f>
        <v>4230</v>
      </c>
      <c r="P85" s="13">
        <f t="shared" si="26"/>
        <v>10280</v>
      </c>
      <c r="Q85" s="12">
        <f t="shared" si="27"/>
        <v>600</v>
      </c>
      <c r="R85" s="12">
        <f t="shared" si="17"/>
        <v>180</v>
      </c>
      <c r="S85" s="21">
        <v>0</v>
      </c>
      <c r="T85" s="28">
        <v>0</v>
      </c>
      <c r="U85" s="13">
        <f t="shared" si="32"/>
        <v>780</v>
      </c>
      <c r="V85" s="13">
        <f t="shared" si="19"/>
        <v>9500</v>
      </c>
      <c r="W85" s="11">
        <v>9500</v>
      </c>
      <c r="X85" s="16">
        <f t="shared" si="25"/>
        <v>0</v>
      </c>
    </row>
    <row r="86" spans="1:24" x14ac:dyDescent="0.2">
      <c r="A86" s="10" t="s">
        <v>307</v>
      </c>
      <c r="B86" s="11">
        <f t="shared" si="29"/>
        <v>77</v>
      </c>
      <c r="C86" s="11" t="s">
        <v>264</v>
      </c>
      <c r="D86" s="19" t="s">
        <v>50</v>
      </c>
      <c r="E86" s="19" t="s">
        <v>484</v>
      </c>
      <c r="F86" s="20">
        <v>42795</v>
      </c>
      <c r="G86" s="25">
        <v>30</v>
      </c>
      <c r="H86" s="13">
        <f t="shared" si="16"/>
        <v>5000</v>
      </c>
      <c r="I86" s="13">
        <f t="shared" si="20"/>
        <v>0</v>
      </c>
      <c r="J86" s="13">
        <f t="shared" si="28"/>
        <v>250</v>
      </c>
      <c r="L86" s="13">
        <f t="shared" si="30"/>
        <v>800</v>
      </c>
      <c r="N86" s="13">
        <f>((1950+1441-178+1017+0)/G$3)*G86</f>
        <v>4230</v>
      </c>
      <c r="P86" s="13">
        <f t="shared" si="26"/>
        <v>10280</v>
      </c>
      <c r="Q86" s="12">
        <f t="shared" si="27"/>
        <v>600</v>
      </c>
      <c r="R86" s="12">
        <f t="shared" si="17"/>
        <v>180</v>
      </c>
      <c r="S86" s="21">
        <v>0</v>
      </c>
      <c r="T86" s="28">
        <v>0</v>
      </c>
      <c r="U86" s="13">
        <f t="shared" ref="U86" si="33">SUM(Q86:T86)</f>
        <v>780</v>
      </c>
      <c r="V86" s="13">
        <f t="shared" si="19"/>
        <v>9500</v>
      </c>
      <c r="W86" s="11">
        <v>9500</v>
      </c>
      <c r="X86" s="16">
        <f t="shared" si="25"/>
        <v>0</v>
      </c>
    </row>
    <row r="87" spans="1:24" x14ac:dyDescent="0.2">
      <c r="A87" s="10" t="s">
        <v>306</v>
      </c>
      <c r="B87" s="11">
        <f t="shared" si="29"/>
        <v>78</v>
      </c>
      <c r="C87" s="11" t="s">
        <v>263</v>
      </c>
      <c r="D87" s="19" t="s">
        <v>50</v>
      </c>
      <c r="E87" s="19" t="s">
        <v>484</v>
      </c>
      <c r="F87" s="20">
        <v>42795</v>
      </c>
      <c r="G87" s="25">
        <v>30</v>
      </c>
      <c r="H87" s="13">
        <f t="shared" si="16"/>
        <v>5000</v>
      </c>
      <c r="I87" s="13">
        <f t="shared" si="20"/>
        <v>0</v>
      </c>
      <c r="J87" s="13">
        <f t="shared" si="28"/>
        <v>250</v>
      </c>
      <c r="L87" s="13">
        <f t="shared" si="30"/>
        <v>800</v>
      </c>
      <c r="N87" s="13">
        <f>((1950+1441+839+0)/G$3)*G87</f>
        <v>4230</v>
      </c>
      <c r="P87" s="13">
        <f t="shared" si="26"/>
        <v>10280</v>
      </c>
      <c r="Q87" s="12">
        <f t="shared" si="27"/>
        <v>600</v>
      </c>
      <c r="R87" s="12">
        <f t="shared" si="17"/>
        <v>180</v>
      </c>
      <c r="S87" s="21">
        <v>0</v>
      </c>
      <c r="T87" s="28">
        <v>0</v>
      </c>
      <c r="U87" s="13">
        <f t="shared" ref="U87:U150" si="34">SUM(Q87:T87)</f>
        <v>780</v>
      </c>
      <c r="V87" s="13">
        <f t="shared" si="19"/>
        <v>9500</v>
      </c>
      <c r="W87" s="11">
        <v>9500</v>
      </c>
      <c r="X87" s="16">
        <f t="shared" si="25"/>
        <v>0</v>
      </c>
    </row>
    <row r="88" spans="1:24" x14ac:dyDescent="0.2">
      <c r="A88" s="10" t="s">
        <v>351</v>
      </c>
      <c r="B88" s="11">
        <f t="shared" si="29"/>
        <v>79</v>
      </c>
      <c r="C88" s="11" t="s">
        <v>352</v>
      </c>
      <c r="D88" s="19" t="s">
        <v>50</v>
      </c>
      <c r="E88" s="19" t="s">
        <v>484</v>
      </c>
      <c r="F88" s="20">
        <v>42795</v>
      </c>
      <c r="G88" s="25">
        <v>30</v>
      </c>
      <c r="H88" s="13">
        <f t="shared" si="16"/>
        <v>5000</v>
      </c>
      <c r="I88" s="13">
        <f t="shared" si="20"/>
        <v>0</v>
      </c>
      <c r="J88" s="13">
        <f t="shared" si="28"/>
        <v>250</v>
      </c>
      <c r="L88" s="13">
        <f t="shared" si="30"/>
        <v>800</v>
      </c>
      <c r="N88" s="13">
        <f>((1950+1441+839+0)/G$3)*G88</f>
        <v>4230</v>
      </c>
      <c r="P88" s="13">
        <f t="shared" si="26"/>
        <v>10280</v>
      </c>
      <c r="Q88" s="12">
        <f t="shared" si="27"/>
        <v>600</v>
      </c>
      <c r="R88" s="12">
        <f t="shared" si="17"/>
        <v>180</v>
      </c>
      <c r="S88" s="21">
        <v>0</v>
      </c>
      <c r="T88" s="28">
        <v>0</v>
      </c>
      <c r="U88" s="13">
        <f t="shared" si="34"/>
        <v>780</v>
      </c>
      <c r="V88" s="13">
        <f t="shared" si="19"/>
        <v>9500</v>
      </c>
      <c r="W88" s="11">
        <v>9500</v>
      </c>
      <c r="X88" s="16">
        <f t="shared" si="25"/>
        <v>0</v>
      </c>
    </row>
    <row r="89" spans="1:24" s="25" customFormat="1" x14ac:dyDescent="0.2">
      <c r="A89" s="24" t="s">
        <v>100</v>
      </c>
      <c r="B89" s="25">
        <f t="shared" si="29"/>
        <v>80</v>
      </c>
      <c r="C89" s="25" t="s">
        <v>84</v>
      </c>
      <c r="D89" s="26" t="s">
        <v>50</v>
      </c>
      <c r="E89" s="26" t="s">
        <v>239</v>
      </c>
      <c r="F89" s="27">
        <v>42864</v>
      </c>
      <c r="G89" s="25">
        <v>30</v>
      </c>
      <c r="H89" s="28">
        <f t="shared" si="16"/>
        <v>5000</v>
      </c>
      <c r="I89" s="28">
        <f t="shared" si="20"/>
        <v>0</v>
      </c>
      <c r="J89" s="28">
        <f t="shared" si="28"/>
        <v>250</v>
      </c>
      <c r="K89" s="28"/>
      <c r="L89" s="28">
        <f t="shared" si="30"/>
        <v>800</v>
      </c>
      <c r="M89" s="28"/>
      <c r="N89" s="28">
        <f>((5197)/G$3)*G89</f>
        <v>5197</v>
      </c>
      <c r="O89" s="28"/>
      <c r="P89" s="28">
        <f t="shared" si="26"/>
        <v>11247</v>
      </c>
      <c r="Q89" s="29">
        <f t="shared" si="27"/>
        <v>600</v>
      </c>
      <c r="R89" s="29">
        <f t="shared" si="17"/>
        <v>197</v>
      </c>
      <c r="S89" s="30">
        <v>0</v>
      </c>
      <c r="T89" s="28">
        <v>0</v>
      </c>
      <c r="U89" s="28">
        <f t="shared" si="34"/>
        <v>797</v>
      </c>
      <c r="V89" s="28">
        <f t="shared" si="19"/>
        <v>10450</v>
      </c>
      <c r="W89" s="11"/>
    </row>
    <row r="90" spans="1:24" x14ac:dyDescent="0.2">
      <c r="A90" s="10" t="s">
        <v>588</v>
      </c>
      <c r="B90" s="11">
        <f t="shared" si="29"/>
        <v>81</v>
      </c>
      <c r="C90" s="11" t="s">
        <v>392</v>
      </c>
      <c r="D90" s="19" t="s">
        <v>50</v>
      </c>
      <c r="E90" s="19" t="s">
        <v>232</v>
      </c>
      <c r="F90" s="20">
        <v>42795</v>
      </c>
      <c r="G90" s="25">
        <v>30</v>
      </c>
      <c r="H90" s="13">
        <f t="shared" si="16"/>
        <v>5000</v>
      </c>
      <c r="I90" s="13">
        <f t="shared" si="20"/>
        <v>0</v>
      </c>
      <c r="J90" s="13">
        <f t="shared" si="28"/>
        <v>250</v>
      </c>
      <c r="L90" s="13">
        <f t="shared" si="30"/>
        <v>800</v>
      </c>
      <c r="N90" s="13">
        <f>((1950+1441+839+0)/G$3)*G90</f>
        <v>4230</v>
      </c>
      <c r="P90" s="13">
        <f t="shared" si="26"/>
        <v>10280</v>
      </c>
      <c r="Q90" s="12">
        <f t="shared" si="27"/>
        <v>600</v>
      </c>
      <c r="R90" s="12">
        <f t="shared" si="17"/>
        <v>180</v>
      </c>
      <c r="S90" s="21">
        <v>0</v>
      </c>
      <c r="T90" s="28">
        <v>0</v>
      </c>
      <c r="U90" s="13">
        <f t="shared" si="34"/>
        <v>780</v>
      </c>
      <c r="V90" s="13">
        <f t="shared" si="19"/>
        <v>9500</v>
      </c>
      <c r="W90" s="11">
        <v>9500</v>
      </c>
      <c r="X90" s="39">
        <f t="shared" si="25"/>
        <v>0</v>
      </c>
    </row>
    <row r="91" spans="1:24" x14ac:dyDescent="0.2">
      <c r="A91" s="10" t="s">
        <v>415</v>
      </c>
      <c r="B91" s="11">
        <f t="shared" si="29"/>
        <v>82</v>
      </c>
      <c r="C91" s="11" t="s">
        <v>324</v>
      </c>
      <c r="D91" s="19" t="s">
        <v>50</v>
      </c>
      <c r="E91" s="11" t="s">
        <v>239</v>
      </c>
      <c r="F91" s="20">
        <v>42826</v>
      </c>
      <c r="G91" s="25">
        <v>30</v>
      </c>
      <c r="H91" s="13">
        <f t="shared" si="16"/>
        <v>5000</v>
      </c>
      <c r="I91" s="13">
        <f t="shared" si="20"/>
        <v>0</v>
      </c>
      <c r="J91" s="13">
        <f t="shared" si="28"/>
        <v>250</v>
      </c>
      <c r="L91" s="13">
        <f t="shared" si="30"/>
        <v>800</v>
      </c>
      <c r="N91" s="13">
        <f>((1950+1441+839+0)/G$3)*G91</f>
        <v>4230</v>
      </c>
      <c r="P91" s="13">
        <f t="shared" si="26"/>
        <v>10280</v>
      </c>
      <c r="Q91" s="12">
        <f t="shared" si="27"/>
        <v>600</v>
      </c>
      <c r="R91" s="12">
        <f t="shared" si="17"/>
        <v>180</v>
      </c>
      <c r="S91" s="21">
        <v>0</v>
      </c>
      <c r="T91" s="28">
        <v>0</v>
      </c>
      <c r="U91" s="13">
        <f t="shared" si="34"/>
        <v>780</v>
      </c>
      <c r="V91" s="13">
        <f t="shared" si="19"/>
        <v>9500</v>
      </c>
      <c r="W91" s="11">
        <v>9500</v>
      </c>
      <c r="X91" s="16">
        <f t="shared" si="25"/>
        <v>0</v>
      </c>
    </row>
    <row r="92" spans="1:24" x14ac:dyDescent="0.2">
      <c r="A92" s="10" t="s">
        <v>331</v>
      </c>
      <c r="B92" s="11">
        <f t="shared" si="29"/>
        <v>83</v>
      </c>
      <c r="C92" s="11" t="s">
        <v>325</v>
      </c>
      <c r="D92" s="19" t="s">
        <v>50</v>
      </c>
      <c r="E92" s="11" t="s">
        <v>242</v>
      </c>
      <c r="F92" s="20">
        <v>42826</v>
      </c>
      <c r="G92" s="25">
        <v>30</v>
      </c>
      <c r="H92" s="13">
        <f t="shared" si="16"/>
        <v>5000</v>
      </c>
      <c r="I92" s="13">
        <f t="shared" si="20"/>
        <v>0</v>
      </c>
      <c r="J92" s="13">
        <f t="shared" si="28"/>
        <v>250</v>
      </c>
      <c r="L92" s="13">
        <f t="shared" si="30"/>
        <v>800</v>
      </c>
      <c r="N92" s="13">
        <f>((1950+1441+839+0)/G$3)*G92</f>
        <v>4230</v>
      </c>
      <c r="P92" s="13">
        <f t="shared" si="26"/>
        <v>10280</v>
      </c>
      <c r="Q92" s="12">
        <f t="shared" si="27"/>
        <v>600</v>
      </c>
      <c r="R92" s="12">
        <f t="shared" si="17"/>
        <v>180</v>
      </c>
      <c r="S92" s="21">
        <v>0</v>
      </c>
      <c r="T92" s="28">
        <v>0</v>
      </c>
      <c r="U92" s="13">
        <f t="shared" si="34"/>
        <v>780</v>
      </c>
      <c r="V92" s="13">
        <f t="shared" si="19"/>
        <v>9500</v>
      </c>
      <c r="W92" s="11">
        <v>9500</v>
      </c>
      <c r="X92" s="16">
        <f t="shared" si="25"/>
        <v>0</v>
      </c>
    </row>
    <row r="93" spans="1:24" x14ac:dyDescent="0.2">
      <c r="A93" s="10" t="s">
        <v>416</v>
      </c>
      <c r="B93" s="11">
        <f t="shared" si="29"/>
        <v>84</v>
      </c>
      <c r="C93" s="11" t="s">
        <v>326</v>
      </c>
      <c r="D93" s="19" t="s">
        <v>50</v>
      </c>
      <c r="E93" s="11" t="s">
        <v>239</v>
      </c>
      <c r="F93" s="20">
        <v>42826</v>
      </c>
      <c r="G93" s="25">
        <v>30</v>
      </c>
      <c r="H93" s="13">
        <f t="shared" si="16"/>
        <v>5000</v>
      </c>
      <c r="I93" s="13">
        <f t="shared" si="20"/>
        <v>0</v>
      </c>
      <c r="J93" s="13">
        <f t="shared" si="28"/>
        <v>250</v>
      </c>
      <c r="L93" s="13">
        <f t="shared" si="30"/>
        <v>800</v>
      </c>
      <c r="N93" s="13">
        <f>((1950+1441-178+1526+1018+0)/G$3)*G93</f>
        <v>5757</v>
      </c>
      <c r="P93" s="13">
        <f t="shared" si="26"/>
        <v>11807</v>
      </c>
      <c r="Q93" s="12">
        <f t="shared" si="27"/>
        <v>600</v>
      </c>
      <c r="R93" s="12">
        <f t="shared" si="17"/>
        <v>207</v>
      </c>
      <c r="S93" s="21">
        <v>0</v>
      </c>
      <c r="T93" s="28">
        <v>0</v>
      </c>
      <c r="U93" s="13">
        <f t="shared" si="34"/>
        <v>807</v>
      </c>
      <c r="V93" s="13">
        <f t="shared" si="19"/>
        <v>11000</v>
      </c>
      <c r="W93" s="11">
        <v>11000</v>
      </c>
      <c r="X93" s="16">
        <f t="shared" si="25"/>
        <v>0</v>
      </c>
    </row>
    <row r="94" spans="1:24" x14ac:dyDescent="0.2">
      <c r="A94" s="10" t="s">
        <v>417</v>
      </c>
      <c r="B94" s="11">
        <f t="shared" si="29"/>
        <v>85</v>
      </c>
      <c r="C94" s="11" t="s">
        <v>327</v>
      </c>
      <c r="D94" s="19" t="s">
        <v>50</v>
      </c>
      <c r="E94" s="11" t="s">
        <v>234</v>
      </c>
      <c r="F94" s="20">
        <v>42826</v>
      </c>
      <c r="G94" s="25">
        <v>30</v>
      </c>
      <c r="H94" s="13">
        <f t="shared" si="16"/>
        <v>5000</v>
      </c>
      <c r="I94" s="13">
        <f t="shared" si="20"/>
        <v>0</v>
      </c>
      <c r="J94" s="13">
        <f t="shared" si="28"/>
        <v>250</v>
      </c>
      <c r="L94" s="13">
        <f t="shared" si="30"/>
        <v>800</v>
      </c>
      <c r="N94" s="13">
        <f>((1950+1441-178+1017+1018+0)/G$3)*G94</f>
        <v>5248</v>
      </c>
      <c r="P94" s="13">
        <f t="shared" si="26"/>
        <v>11298</v>
      </c>
      <c r="Q94" s="12">
        <f t="shared" si="27"/>
        <v>600</v>
      </c>
      <c r="R94" s="12">
        <f t="shared" si="17"/>
        <v>198</v>
      </c>
      <c r="S94" s="21">
        <v>0</v>
      </c>
      <c r="T94" s="28">
        <v>0</v>
      </c>
      <c r="U94" s="13">
        <f t="shared" si="34"/>
        <v>798</v>
      </c>
      <c r="V94" s="13">
        <f t="shared" si="19"/>
        <v>10500</v>
      </c>
      <c r="W94" s="11">
        <v>10500</v>
      </c>
      <c r="X94" s="16">
        <f t="shared" si="25"/>
        <v>0</v>
      </c>
    </row>
    <row r="95" spans="1:24" x14ac:dyDescent="0.2">
      <c r="A95" s="10" t="s">
        <v>418</v>
      </c>
      <c r="B95" s="11">
        <f t="shared" si="29"/>
        <v>86</v>
      </c>
      <c r="C95" s="11" t="s">
        <v>491</v>
      </c>
      <c r="D95" s="19" t="s">
        <v>50</v>
      </c>
      <c r="E95" s="11" t="s">
        <v>241</v>
      </c>
      <c r="F95" s="20">
        <v>42826</v>
      </c>
      <c r="G95" s="25">
        <v>30</v>
      </c>
      <c r="H95" s="13">
        <f t="shared" si="16"/>
        <v>5000</v>
      </c>
      <c r="I95" s="13">
        <f t="shared" si="20"/>
        <v>0</v>
      </c>
      <c r="J95" s="13">
        <f t="shared" si="28"/>
        <v>250</v>
      </c>
      <c r="L95" s="13">
        <f t="shared" si="30"/>
        <v>800</v>
      </c>
      <c r="N95" s="13">
        <f>((1950+1441+839+0)/G$3)*G95</f>
        <v>4230</v>
      </c>
      <c r="P95" s="13">
        <f t="shared" si="26"/>
        <v>10280</v>
      </c>
      <c r="Q95" s="12">
        <f t="shared" si="27"/>
        <v>600</v>
      </c>
      <c r="R95" s="12">
        <f t="shared" si="17"/>
        <v>180</v>
      </c>
      <c r="S95" s="21">
        <v>0</v>
      </c>
      <c r="T95" s="28">
        <v>0</v>
      </c>
      <c r="U95" s="13">
        <f t="shared" si="34"/>
        <v>780</v>
      </c>
      <c r="V95" s="13">
        <f t="shared" si="19"/>
        <v>9500</v>
      </c>
      <c r="W95" s="11">
        <v>9500</v>
      </c>
      <c r="X95" s="16">
        <f t="shared" si="25"/>
        <v>0</v>
      </c>
    </row>
    <row r="96" spans="1:24" x14ac:dyDescent="0.2">
      <c r="A96" s="10" t="s">
        <v>419</v>
      </c>
      <c r="B96" s="11">
        <f t="shared" si="29"/>
        <v>87</v>
      </c>
      <c r="C96" s="11" t="s">
        <v>328</v>
      </c>
      <c r="D96" s="19" t="s">
        <v>50</v>
      </c>
      <c r="E96" s="11" t="s">
        <v>234</v>
      </c>
      <c r="F96" s="20">
        <v>42826</v>
      </c>
      <c r="G96" s="25">
        <v>30</v>
      </c>
      <c r="H96" s="13">
        <f t="shared" ref="H96:H159" si="35">(5000/G$3)*G96</f>
        <v>5000</v>
      </c>
      <c r="I96" s="13">
        <f t="shared" si="20"/>
        <v>0</v>
      </c>
      <c r="J96" s="13">
        <f t="shared" si="28"/>
        <v>250</v>
      </c>
      <c r="L96" s="13">
        <f t="shared" si="30"/>
        <v>800</v>
      </c>
      <c r="N96" s="13">
        <f>((1950+1441-178+1017+1018+0)/G$3)*G96</f>
        <v>5248</v>
      </c>
      <c r="P96" s="13">
        <f t="shared" si="26"/>
        <v>11298</v>
      </c>
      <c r="Q96" s="12">
        <f t="shared" si="27"/>
        <v>600</v>
      </c>
      <c r="R96" s="12">
        <f t="shared" ref="R96:R159" si="36">ROUNDUP((P96*1.75%),0)</f>
        <v>198</v>
      </c>
      <c r="S96" s="21">
        <v>0</v>
      </c>
      <c r="T96" s="28">
        <v>0</v>
      </c>
      <c r="U96" s="13">
        <f t="shared" si="34"/>
        <v>798</v>
      </c>
      <c r="V96" s="13">
        <f t="shared" ref="V96:V159" si="37">P96-U96</f>
        <v>10500</v>
      </c>
      <c r="W96" s="11">
        <v>10500</v>
      </c>
      <c r="X96" s="16">
        <f t="shared" si="25"/>
        <v>0</v>
      </c>
    </row>
    <row r="97" spans="1:24" s="25" customFormat="1" x14ac:dyDescent="0.2">
      <c r="A97" s="24" t="s">
        <v>420</v>
      </c>
      <c r="B97" s="25">
        <f t="shared" si="29"/>
        <v>88</v>
      </c>
      <c r="C97" s="25" t="s">
        <v>329</v>
      </c>
      <c r="D97" s="26" t="s">
        <v>50</v>
      </c>
      <c r="E97" s="25" t="s">
        <v>484</v>
      </c>
      <c r="F97" s="27">
        <v>42826</v>
      </c>
      <c r="G97" s="25">
        <v>30</v>
      </c>
      <c r="H97" s="28">
        <f t="shared" si="35"/>
        <v>5000</v>
      </c>
      <c r="I97" s="28">
        <f t="shared" ref="I97:I160" si="38">((0)/G$3)*G97</f>
        <v>0</v>
      </c>
      <c r="J97" s="28">
        <f t="shared" si="28"/>
        <v>250</v>
      </c>
      <c r="K97" s="28"/>
      <c r="L97" s="28">
        <f t="shared" si="30"/>
        <v>800</v>
      </c>
      <c r="M97" s="28"/>
      <c r="N97" s="28">
        <f>((1950+1441+1806)/G$3)*G97</f>
        <v>5197</v>
      </c>
      <c r="O97" s="28"/>
      <c r="P97" s="28">
        <f t="shared" si="26"/>
        <v>11247</v>
      </c>
      <c r="Q97" s="29">
        <f t="shared" si="27"/>
        <v>600</v>
      </c>
      <c r="R97" s="29">
        <f t="shared" si="36"/>
        <v>197</v>
      </c>
      <c r="S97" s="30">
        <v>0</v>
      </c>
      <c r="T97" s="28">
        <v>0</v>
      </c>
      <c r="U97" s="28">
        <f t="shared" si="34"/>
        <v>797</v>
      </c>
      <c r="V97" s="28">
        <f t="shared" si="37"/>
        <v>10450</v>
      </c>
      <c r="W97" s="11"/>
    </row>
    <row r="98" spans="1:24" x14ac:dyDescent="0.2">
      <c r="A98" s="10" t="s">
        <v>421</v>
      </c>
      <c r="B98" s="11">
        <f t="shared" si="29"/>
        <v>89</v>
      </c>
      <c r="C98" s="11" t="s">
        <v>330</v>
      </c>
      <c r="D98" s="19" t="s">
        <v>50</v>
      </c>
      <c r="E98" s="11" t="s">
        <v>239</v>
      </c>
      <c r="F98" s="20">
        <v>42826</v>
      </c>
      <c r="G98" s="25">
        <v>30</v>
      </c>
      <c r="H98" s="13">
        <f t="shared" si="35"/>
        <v>5000</v>
      </c>
      <c r="I98" s="13">
        <f t="shared" si="38"/>
        <v>0</v>
      </c>
      <c r="J98" s="13">
        <f t="shared" si="28"/>
        <v>250</v>
      </c>
      <c r="L98" s="13">
        <f t="shared" si="30"/>
        <v>800</v>
      </c>
      <c r="N98" s="13">
        <f>((1950+1441+839+0)/G$3)*G98</f>
        <v>4230</v>
      </c>
      <c r="P98" s="13">
        <f t="shared" si="26"/>
        <v>10280</v>
      </c>
      <c r="Q98" s="12">
        <f t="shared" si="27"/>
        <v>600</v>
      </c>
      <c r="R98" s="12">
        <f t="shared" si="36"/>
        <v>180</v>
      </c>
      <c r="S98" s="21">
        <v>0</v>
      </c>
      <c r="T98" s="28">
        <v>0</v>
      </c>
      <c r="U98" s="13">
        <f t="shared" si="34"/>
        <v>780</v>
      </c>
      <c r="V98" s="13">
        <f t="shared" si="37"/>
        <v>9500</v>
      </c>
      <c r="W98" s="11">
        <v>9500</v>
      </c>
      <c r="X98" s="16">
        <f t="shared" si="25"/>
        <v>0</v>
      </c>
    </row>
    <row r="99" spans="1:24" x14ac:dyDescent="0.2">
      <c r="A99" s="10" t="s">
        <v>589</v>
      </c>
      <c r="B99" s="11">
        <f t="shared" si="29"/>
        <v>90</v>
      </c>
      <c r="C99" s="11" t="s">
        <v>355</v>
      </c>
      <c r="D99" s="19" t="s">
        <v>50</v>
      </c>
      <c r="E99" s="19" t="s">
        <v>240</v>
      </c>
      <c r="F99" s="20">
        <v>42856</v>
      </c>
      <c r="G99" s="25">
        <v>30</v>
      </c>
      <c r="H99" s="13">
        <f t="shared" si="35"/>
        <v>5000</v>
      </c>
      <c r="I99" s="13">
        <f t="shared" si="38"/>
        <v>0</v>
      </c>
      <c r="J99" s="13">
        <f t="shared" si="28"/>
        <v>250</v>
      </c>
      <c r="L99" s="13">
        <f t="shared" si="30"/>
        <v>800</v>
      </c>
      <c r="N99" s="13">
        <f>((1950+1441-178+1526+0)/G$3)*G99</f>
        <v>4739</v>
      </c>
      <c r="P99" s="13">
        <f t="shared" si="26"/>
        <v>10789</v>
      </c>
      <c r="Q99" s="12">
        <f t="shared" si="27"/>
        <v>600</v>
      </c>
      <c r="R99" s="12">
        <f t="shared" si="36"/>
        <v>189</v>
      </c>
      <c r="S99" s="21">
        <v>0</v>
      </c>
      <c r="T99" s="28">
        <v>0</v>
      </c>
      <c r="U99" s="13">
        <f t="shared" si="34"/>
        <v>789</v>
      </c>
      <c r="V99" s="13">
        <f t="shared" si="37"/>
        <v>10000</v>
      </c>
      <c r="W99" s="11">
        <v>10000</v>
      </c>
      <c r="X99" s="16">
        <f t="shared" si="25"/>
        <v>0</v>
      </c>
    </row>
    <row r="100" spans="1:24" x14ac:dyDescent="0.2">
      <c r="A100" s="10" t="s">
        <v>590</v>
      </c>
      <c r="B100" s="11">
        <f t="shared" si="29"/>
        <v>91</v>
      </c>
      <c r="C100" s="11" t="s">
        <v>356</v>
      </c>
      <c r="D100" s="19" t="s">
        <v>50</v>
      </c>
      <c r="E100" s="19" t="s">
        <v>240</v>
      </c>
      <c r="F100" s="20">
        <v>42856</v>
      </c>
      <c r="G100" s="25">
        <v>30</v>
      </c>
      <c r="H100" s="13">
        <f t="shared" si="35"/>
        <v>5000</v>
      </c>
      <c r="I100" s="13">
        <f t="shared" si="38"/>
        <v>0</v>
      </c>
      <c r="J100" s="13">
        <f t="shared" si="28"/>
        <v>250</v>
      </c>
      <c r="L100" s="13">
        <f t="shared" si="30"/>
        <v>800</v>
      </c>
      <c r="N100" s="13">
        <f>((1950+1441+839+0)/G$3)*G100</f>
        <v>4230</v>
      </c>
      <c r="P100" s="13">
        <f t="shared" si="26"/>
        <v>10280</v>
      </c>
      <c r="Q100" s="12">
        <f t="shared" si="27"/>
        <v>600</v>
      </c>
      <c r="R100" s="12">
        <f t="shared" si="36"/>
        <v>180</v>
      </c>
      <c r="S100" s="21">
        <v>0</v>
      </c>
      <c r="T100" s="28">
        <v>0</v>
      </c>
      <c r="U100" s="13">
        <f t="shared" si="34"/>
        <v>780</v>
      </c>
      <c r="V100" s="13">
        <f t="shared" si="37"/>
        <v>9500</v>
      </c>
      <c r="W100" s="11">
        <v>9500</v>
      </c>
      <c r="X100" s="16">
        <f t="shared" si="25"/>
        <v>0</v>
      </c>
    </row>
    <row r="101" spans="1:24" x14ac:dyDescent="0.2">
      <c r="A101" s="10" t="s">
        <v>591</v>
      </c>
      <c r="B101" s="11">
        <f t="shared" si="29"/>
        <v>92</v>
      </c>
      <c r="C101" s="11" t="s">
        <v>357</v>
      </c>
      <c r="D101" s="19" t="s">
        <v>50</v>
      </c>
      <c r="E101" s="19" t="s">
        <v>240</v>
      </c>
      <c r="F101" s="20">
        <v>42856</v>
      </c>
      <c r="G101" s="25">
        <v>30</v>
      </c>
      <c r="H101" s="13">
        <f t="shared" si="35"/>
        <v>5000</v>
      </c>
      <c r="I101" s="13">
        <f t="shared" si="38"/>
        <v>0</v>
      </c>
      <c r="J101" s="13">
        <f t="shared" si="28"/>
        <v>250</v>
      </c>
      <c r="L101" s="13">
        <f t="shared" si="30"/>
        <v>800</v>
      </c>
      <c r="N101" s="13">
        <f>((1950+1441+839+0)/G$3)*G101</f>
        <v>4230</v>
      </c>
      <c r="P101" s="13">
        <f t="shared" si="26"/>
        <v>10280</v>
      </c>
      <c r="Q101" s="12">
        <f t="shared" si="27"/>
        <v>600</v>
      </c>
      <c r="R101" s="12">
        <f t="shared" si="36"/>
        <v>180</v>
      </c>
      <c r="S101" s="21">
        <v>0</v>
      </c>
      <c r="T101" s="28">
        <v>0</v>
      </c>
      <c r="U101" s="13">
        <f t="shared" si="34"/>
        <v>780</v>
      </c>
      <c r="V101" s="13">
        <f t="shared" si="37"/>
        <v>9500</v>
      </c>
      <c r="W101" s="11">
        <v>9500</v>
      </c>
      <c r="X101" s="16">
        <f t="shared" si="25"/>
        <v>0</v>
      </c>
    </row>
    <row r="102" spans="1:24" x14ac:dyDescent="0.2">
      <c r="A102" s="10" t="s">
        <v>592</v>
      </c>
      <c r="B102" s="11">
        <f t="shared" si="29"/>
        <v>93</v>
      </c>
      <c r="C102" s="11" t="s">
        <v>358</v>
      </c>
      <c r="D102" s="19" t="s">
        <v>50</v>
      </c>
      <c r="E102" s="19" t="s">
        <v>240</v>
      </c>
      <c r="F102" s="20">
        <v>42856</v>
      </c>
      <c r="G102" s="25">
        <v>30</v>
      </c>
      <c r="H102" s="13">
        <f t="shared" si="35"/>
        <v>5000</v>
      </c>
      <c r="I102" s="13">
        <f t="shared" si="38"/>
        <v>0</v>
      </c>
      <c r="J102" s="13">
        <f t="shared" si="28"/>
        <v>250</v>
      </c>
      <c r="L102" s="13">
        <f t="shared" si="30"/>
        <v>800</v>
      </c>
      <c r="N102" s="13">
        <f>((1950+1441+839+0)/G$3)*G102</f>
        <v>4230</v>
      </c>
      <c r="P102" s="13">
        <f t="shared" si="26"/>
        <v>10280</v>
      </c>
      <c r="Q102" s="12">
        <f t="shared" si="27"/>
        <v>600</v>
      </c>
      <c r="R102" s="12">
        <f t="shared" si="36"/>
        <v>180</v>
      </c>
      <c r="S102" s="21">
        <v>0</v>
      </c>
      <c r="T102" s="28">
        <v>0</v>
      </c>
      <c r="U102" s="13">
        <f t="shared" si="34"/>
        <v>780</v>
      </c>
      <c r="V102" s="13">
        <f t="shared" si="37"/>
        <v>9500</v>
      </c>
      <c r="W102" s="11">
        <v>9500</v>
      </c>
      <c r="X102" s="16">
        <f t="shared" si="25"/>
        <v>0</v>
      </c>
    </row>
    <row r="103" spans="1:24" x14ac:dyDescent="0.2">
      <c r="A103" s="10" t="s">
        <v>593</v>
      </c>
      <c r="B103" s="11">
        <f t="shared" si="29"/>
        <v>94</v>
      </c>
      <c r="C103" s="11" t="s">
        <v>359</v>
      </c>
      <c r="D103" s="19" t="s">
        <v>50</v>
      </c>
      <c r="E103" s="19" t="s">
        <v>234</v>
      </c>
      <c r="F103" s="20">
        <v>42856</v>
      </c>
      <c r="G103" s="25">
        <v>30</v>
      </c>
      <c r="H103" s="13">
        <f t="shared" si="35"/>
        <v>5000</v>
      </c>
      <c r="I103" s="13">
        <f t="shared" si="38"/>
        <v>0</v>
      </c>
      <c r="J103" s="13">
        <f t="shared" si="28"/>
        <v>250</v>
      </c>
      <c r="L103" s="13">
        <f t="shared" si="30"/>
        <v>800</v>
      </c>
      <c r="N103" s="13">
        <f t="shared" ref="N103:N117" si="39">((1950+1441-178+1017+1018+0)/G$3)*G103</f>
        <v>5248</v>
      </c>
      <c r="P103" s="13">
        <f t="shared" si="26"/>
        <v>11298</v>
      </c>
      <c r="Q103" s="12">
        <f t="shared" si="27"/>
        <v>600</v>
      </c>
      <c r="R103" s="12">
        <f t="shared" si="36"/>
        <v>198</v>
      </c>
      <c r="S103" s="21">
        <v>0</v>
      </c>
      <c r="T103" s="28">
        <v>0</v>
      </c>
      <c r="U103" s="13">
        <f t="shared" si="34"/>
        <v>798</v>
      </c>
      <c r="V103" s="13">
        <f t="shared" si="37"/>
        <v>10500</v>
      </c>
      <c r="W103" s="11">
        <v>10500</v>
      </c>
      <c r="X103" s="16">
        <f t="shared" si="25"/>
        <v>0</v>
      </c>
    </row>
    <row r="104" spans="1:24" x14ac:dyDescent="0.2">
      <c r="A104" s="10" t="s">
        <v>594</v>
      </c>
      <c r="B104" s="11">
        <f t="shared" si="29"/>
        <v>95</v>
      </c>
      <c r="C104" s="11" t="s">
        <v>360</v>
      </c>
      <c r="D104" s="19" t="s">
        <v>50</v>
      </c>
      <c r="E104" s="19" t="s">
        <v>234</v>
      </c>
      <c r="F104" s="20">
        <v>42870</v>
      </c>
      <c r="G104" s="25">
        <v>30</v>
      </c>
      <c r="H104" s="13">
        <f t="shared" si="35"/>
        <v>5000</v>
      </c>
      <c r="I104" s="13">
        <f t="shared" si="38"/>
        <v>0</v>
      </c>
      <c r="J104" s="13">
        <f t="shared" si="28"/>
        <v>250</v>
      </c>
      <c r="L104" s="13">
        <f t="shared" si="30"/>
        <v>800</v>
      </c>
      <c r="N104" s="13">
        <f t="shared" si="39"/>
        <v>5248</v>
      </c>
      <c r="P104" s="13">
        <f t="shared" si="26"/>
        <v>11298</v>
      </c>
      <c r="Q104" s="12">
        <f t="shared" si="27"/>
        <v>600</v>
      </c>
      <c r="R104" s="12">
        <f t="shared" si="36"/>
        <v>198</v>
      </c>
      <c r="S104" s="21">
        <v>0</v>
      </c>
      <c r="T104" s="28">
        <v>0</v>
      </c>
      <c r="U104" s="13">
        <f t="shared" si="34"/>
        <v>798</v>
      </c>
      <c r="V104" s="13">
        <f t="shared" si="37"/>
        <v>10500</v>
      </c>
      <c r="W104" s="11">
        <v>10500</v>
      </c>
      <c r="X104" s="16">
        <f t="shared" si="25"/>
        <v>0</v>
      </c>
    </row>
    <row r="105" spans="1:24" x14ac:dyDescent="0.2">
      <c r="A105" s="10" t="s">
        <v>595</v>
      </c>
      <c r="B105" s="11">
        <f t="shared" si="29"/>
        <v>96</v>
      </c>
      <c r="C105" s="11" t="s">
        <v>361</v>
      </c>
      <c r="D105" s="19" t="s">
        <v>50</v>
      </c>
      <c r="E105" s="19" t="s">
        <v>234</v>
      </c>
      <c r="F105" s="20">
        <v>42856</v>
      </c>
      <c r="G105" s="25">
        <v>30</v>
      </c>
      <c r="H105" s="13">
        <f t="shared" si="35"/>
        <v>5000</v>
      </c>
      <c r="I105" s="13">
        <f t="shared" si="38"/>
        <v>0</v>
      </c>
      <c r="J105" s="13">
        <f t="shared" si="28"/>
        <v>250</v>
      </c>
      <c r="L105" s="13">
        <f t="shared" si="30"/>
        <v>800</v>
      </c>
      <c r="N105" s="13">
        <f t="shared" si="39"/>
        <v>5248</v>
      </c>
      <c r="P105" s="13">
        <f t="shared" si="26"/>
        <v>11298</v>
      </c>
      <c r="Q105" s="12">
        <f t="shared" si="27"/>
        <v>600</v>
      </c>
      <c r="R105" s="12">
        <f t="shared" si="36"/>
        <v>198</v>
      </c>
      <c r="S105" s="21">
        <v>0</v>
      </c>
      <c r="T105" s="28">
        <v>0</v>
      </c>
      <c r="U105" s="13">
        <f t="shared" si="34"/>
        <v>798</v>
      </c>
      <c r="V105" s="13">
        <f t="shared" si="37"/>
        <v>10500</v>
      </c>
      <c r="W105" s="11">
        <v>10500</v>
      </c>
      <c r="X105" s="16">
        <f t="shared" si="25"/>
        <v>0</v>
      </c>
    </row>
    <row r="106" spans="1:24" x14ac:dyDescent="0.2">
      <c r="A106" s="10" t="s">
        <v>596</v>
      </c>
      <c r="B106" s="11">
        <f t="shared" si="29"/>
        <v>97</v>
      </c>
      <c r="C106" s="11" t="s">
        <v>362</v>
      </c>
      <c r="D106" s="19" t="s">
        <v>50</v>
      </c>
      <c r="E106" s="19" t="s">
        <v>234</v>
      </c>
      <c r="F106" s="20">
        <v>42851</v>
      </c>
      <c r="G106" s="25">
        <v>30</v>
      </c>
      <c r="H106" s="13">
        <f t="shared" si="35"/>
        <v>5000</v>
      </c>
      <c r="I106" s="13">
        <f t="shared" si="38"/>
        <v>0</v>
      </c>
      <c r="J106" s="13">
        <f t="shared" si="28"/>
        <v>250</v>
      </c>
      <c r="L106" s="13">
        <f t="shared" si="30"/>
        <v>800</v>
      </c>
      <c r="N106" s="13">
        <f t="shared" si="39"/>
        <v>5248</v>
      </c>
      <c r="P106" s="13">
        <f t="shared" si="26"/>
        <v>11298</v>
      </c>
      <c r="Q106" s="12">
        <f t="shared" si="27"/>
        <v>600</v>
      </c>
      <c r="R106" s="12">
        <f t="shared" si="36"/>
        <v>198</v>
      </c>
      <c r="S106" s="21">
        <v>0</v>
      </c>
      <c r="T106" s="28">
        <v>0</v>
      </c>
      <c r="U106" s="13">
        <f t="shared" si="34"/>
        <v>798</v>
      </c>
      <c r="V106" s="13">
        <f t="shared" si="37"/>
        <v>10500</v>
      </c>
      <c r="W106" s="11">
        <v>10500</v>
      </c>
      <c r="X106" s="16">
        <f t="shared" si="25"/>
        <v>0</v>
      </c>
    </row>
    <row r="107" spans="1:24" x14ac:dyDescent="0.2">
      <c r="A107" s="10" t="s">
        <v>597</v>
      </c>
      <c r="B107" s="11">
        <f t="shared" si="29"/>
        <v>98</v>
      </c>
      <c r="C107" s="11" t="s">
        <v>363</v>
      </c>
      <c r="D107" s="19" t="s">
        <v>50</v>
      </c>
      <c r="E107" s="19" t="s">
        <v>234</v>
      </c>
      <c r="F107" s="20">
        <v>42856</v>
      </c>
      <c r="G107" s="25">
        <v>30</v>
      </c>
      <c r="H107" s="13">
        <f t="shared" si="35"/>
        <v>5000</v>
      </c>
      <c r="I107" s="13">
        <f t="shared" si="38"/>
        <v>0</v>
      </c>
      <c r="J107" s="13">
        <f t="shared" si="28"/>
        <v>250</v>
      </c>
      <c r="L107" s="13">
        <f t="shared" si="30"/>
        <v>800</v>
      </c>
      <c r="N107" s="13">
        <f t="shared" si="39"/>
        <v>5248</v>
      </c>
      <c r="P107" s="13">
        <f t="shared" si="26"/>
        <v>11298</v>
      </c>
      <c r="Q107" s="12">
        <f t="shared" si="27"/>
        <v>600</v>
      </c>
      <c r="R107" s="12">
        <f t="shared" si="36"/>
        <v>198</v>
      </c>
      <c r="S107" s="21">
        <v>0</v>
      </c>
      <c r="T107" s="28">
        <v>0</v>
      </c>
      <c r="U107" s="13">
        <f t="shared" si="34"/>
        <v>798</v>
      </c>
      <c r="V107" s="13">
        <f t="shared" si="37"/>
        <v>10500</v>
      </c>
      <c r="W107" s="11">
        <v>10500</v>
      </c>
      <c r="X107" s="16">
        <f t="shared" si="25"/>
        <v>0</v>
      </c>
    </row>
    <row r="108" spans="1:24" x14ac:dyDescent="0.2">
      <c r="A108" s="10" t="s">
        <v>598</v>
      </c>
      <c r="B108" s="11">
        <f t="shared" si="29"/>
        <v>99</v>
      </c>
      <c r="C108" s="11" t="s">
        <v>364</v>
      </c>
      <c r="D108" s="19" t="s">
        <v>50</v>
      </c>
      <c r="E108" s="19" t="s">
        <v>234</v>
      </c>
      <c r="F108" s="20">
        <v>42856</v>
      </c>
      <c r="G108" s="25">
        <v>30</v>
      </c>
      <c r="H108" s="13">
        <f t="shared" si="35"/>
        <v>5000</v>
      </c>
      <c r="I108" s="13">
        <f t="shared" si="38"/>
        <v>0</v>
      </c>
      <c r="J108" s="13">
        <f t="shared" si="28"/>
        <v>250</v>
      </c>
      <c r="L108" s="13">
        <f t="shared" si="30"/>
        <v>800</v>
      </c>
      <c r="N108" s="13">
        <f t="shared" si="39"/>
        <v>5248</v>
      </c>
      <c r="P108" s="13">
        <f t="shared" si="26"/>
        <v>11298</v>
      </c>
      <c r="Q108" s="12">
        <f t="shared" si="27"/>
        <v>600</v>
      </c>
      <c r="R108" s="12">
        <f t="shared" si="36"/>
        <v>198</v>
      </c>
      <c r="S108" s="21">
        <v>0</v>
      </c>
      <c r="T108" s="28">
        <v>0</v>
      </c>
      <c r="U108" s="13">
        <f t="shared" si="34"/>
        <v>798</v>
      </c>
      <c r="V108" s="13">
        <f t="shared" si="37"/>
        <v>10500</v>
      </c>
      <c r="W108" s="11">
        <v>10500</v>
      </c>
      <c r="X108" s="16">
        <f t="shared" si="25"/>
        <v>0</v>
      </c>
    </row>
    <row r="109" spans="1:24" x14ac:dyDescent="0.2">
      <c r="A109" s="10" t="s">
        <v>599</v>
      </c>
      <c r="B109" s="11">
        <f t="shared" si="29"/>
        <v>100</v>
      </c>
      <c r="C109" s="11" t="s">
        <v>365</v>
      </c>
      <c r="D109" s="19" t="s">
        <v>50</v>
      </c>
      <c r="E109" s="19" t="s">
        <v>234</v>
      </c>
      <c r="F109" s="20">
        <v>42856</v>
      </c>
      <c r="G109" s="25">
        <v>30</v>
      </c>
      <c r="H109" s="13">
        <f t="shared" si="35"/>
        <v>5000</v>
      </c>
      <c r="I109" s="13">
        <f t="shared" si="38"/>
        <v>0</v>
      </c>
      <c r="J109" s="13">
        <f t="shared" si="28"/>
        <v>250</v>
      </c>
      <c r="L109" s="13">
        <f t="shared" si="30"/>
        <v>800</v>
      </c>
      <c r="N109" s="13">
        <f t="shared" si="39"/>
        <v>5248</v>
      </c>
      <c r="P109" s="13">
        <f t="shared" si="26"/>
        <v>11298</v>
      </c>
      <c r="Q109" s="12">
        <f t="shared" si="27"/>
        <v>600</v>
      </c>
      <c r="R109" s="12">
        <f t="shared" si="36"/>
        <v>198</v>
      </c>
      <c r="S109" s="21">
        <v>0</v>
      </c>
      <c r="T109" s="28">
        <v>0</v>
      </c>
      <c r="U109" s="13">
        <f t="shared" si="34"/>
        <v>798</v>
      </c>
      <c r="V109" s="13">
        <f t="shared" si="37"/>
        <v>10500</v>
      </c>
      <c r="W109" s="11">
        <v>10500</v>
      </c>
      <c r="X109" s="16">
        <f t="shared" si="25"/>
        <v>0</v>
      </c>
    </row>
    <row r="110" spans="1:24" x14ac:dyDescent="0.2">
      <c r="A110" s="10" t="s">
        <v>600</v>
      </c>
      <c r="B110" s="11">
        <f t="shared" si="29"/>
        <v>101</v>
      </c>
      <c r="C110" s="11" t="s">
        <v>366</v>
      </c>
      <c r="D110" s="19" t="s">
        <v>50</v>
      </c>
      <c r="E110" s="19" t="s">
        <v>234</v>
      </c>
      <c r="F110" s="20">
        <v>42856</v>
      </c>
      <c r="G110" s="25">
        <v>30</v>
      </c>
      <c r="H110" s="13">
        <f t="shared" si="35"/>
        <v>5000</v>
      </c>
      <c r="I110" s="13">
        <f t="shared" si="38"/>
        <v>0</v>
      </c>
      <c r="J110" s="13">
        <f t="shared" si="28"/>
        <v>250</v>
      </c>
      <c r="L110" s="13">
        <f t="shared" si="30"/>
        <v>800</v>
      </c>
      <c r="N110" s="13">
        <f t="shared" si="39"/>
        <v>5248</v>
      </c>
      <c r="P110" s="13">
        <f t="shared" si="26"/>
        <v>11298</v>
      </c>
      <c r="Q110" s="12">
        <f t="shared" si="27"/>
        <v>600</v>
      </c>
      <c r="R110" s="12">
        <f t="shared" si="36"/>
        <v>198</v>
      </c>
      <c r="S110" s="21">
        <v>0</v>
      </c>
      <c r="T110" s="28">
        <v>0</v>
      </c>
      <c r="U110" s="13">
        <f t="shared" si="34"/>
        <v>798</v>
      </c>
      <c r="V110" s="13">
        <f t="shared" si="37"/>
        <v>10500</v>
      </c>
      <c r="W110" s="11">
        <v>10500</v>
      </c>
      <c r="X110" s="16">
        <f t="shared" si="25"/>
        <v>0</v>
      </c>
    </row>
    <row r="111" spans="1:24" x14ac:dyDescent="0.2">
      <c r="A111" s="10" t="s">
        <v>601</v>
      </c>
      <c r="B111" s="11">
        <f t="shared" si="29"/>
        <v>102</v>
      </c>
      <c r="C111" s="11" t="s">
        <v>368</v>
      </c>
      <c r="D111" s="19" t="s">
        <v>50</v>
      </c>
      <c r="E111" s="19" t="s">
        <v>234</v>
      </c>
      <c r="F111" s="20">
        <v>42856</v>
      </c>
      <c r="G111" s="25">
        <v>30</v>
      </c>
      <c r="H111" s="13">
        <f t="shared" si="35"/>
        <v>5000</v>
      </c>
      <c r="I111" s="13">
        <f t="shared" si="38"/>
        <v>0</v>
      </c>
      <c r="J111" s="13">
        <f t="shared" si="28"/>
        <v>250</v>
      </c>
      <c r="L111" s="13">
        <f t="shared" si="30"/>
        <v>800</v>
      </c>
      <c r="N111" s="13">
        <f t="shared" si="39"/>
        <v>5248</v>
      </c>
      <c r="P111" s="13">
        <f t="shared" si="26"/>
        <v>11298</v>
      </c>
      <c r="Q111" s="12">
        <f t="shared" si="27"/>
        <v>600</v>
      </c>
      <c r="R111" s="12">
        <f t="shared" si="36"/>
        <v>198</v>
      </c>
      <c r="S111" s="21">
        <v>0</v>
      </c>
      <c r="T111" s="28">
        <v>0</v>
      </c>
      <c r="U111" s="13">
        <f t="shared" si="34"/>
        <v>798</v>
      </c>
      <c r="V111" s="13">
        <f t="shared" si="37"/>
        <v>10500</v>
      </c>
      <c r="W111" s="11">
        <v>10500</v>
      </c>
      <c r="X111" s="16">
        <f t="shared" si="25"/>
        <v>0</v>
      </c>
    </row>
    <row r="112" spans="1:24" x14ac:dyDescent="0.2">
      <c r="A112" s="10" t="s">
        <v>602</v>
      </c>
      <c r="B112" s="11">
        <f t="shared" si="29"/>
        <v>103</v>
      </c>
      <c r="C112" s="11" t="s">
        <v>369</v>
      </c>
      <c r="D112" s="19" t="s">
        <v>50</v>
      </c>
      <c r="E112" s="19" t="s">
        <v>234</v>
      </c>
      <c r="F112" s="20">
        <v>42856</v>
      </c>
      <c r="G112" s="25">
        <v>30</v>
      </c>
      <c r="H112" s="13">
        <f t="shared" si="35"/>
        <v>5000</v>
      </c>
      <c r="I112" s="13">
        <f t="shared" si="38"/>
        <v>0</v>
      </c>
      <c r="J112" s="13">
        <f t="shared" si="28"/>
        <v>250</v>
      </c>
      <c r="L112" s="13">
        <f t="shared" si="30"/>
        <v>800</v>
      </c>
      <c r="N112" s="13">
        <f t="shared" si="39"/>
        <v>5248</v>
      </c>
      <c r="P112" s="13">
        <f t="shared" si="26"/>
        <v>11298</v>
      </c>
      <c r="Q112" s="12">
        <f t="shared" si="27"/>
        <v>600</v>
      </c>
      <c r="R112" s="12">
        <f t="shared" si="36"/>
        <v>198</v>
      </c>
      <c r="S112" s="21">
        <v>0</v>
      </c>
      <c r="T112" s="28">
        <v>0</v>
      </c>
      <c r="U112" s="13">
        <f t="shared" si="34"/>
        <v>798</v>
      </c>
      <c r="V112" s="13">
        <f t="shared" si="37"/>
        <v>10500</v>
      </c>
      <c r="W112" s="11">
        <v>10500</v>
      </c>
      <c r="X112" s="16">
        <f t="shared" si="25"/>
        <v>0</v>
      </c>
    </row>
    <row r="113" spans="1:24" x14ac:dyDescent="0.2">
      <c r="A113" s="10" t="s">
        <v>603</v>
      </c>
      <c r="B113" s="11">
        <f t="shared" si="29"/>
        <v>104</v>
      </c>
      <c r="C113" s="11" t="s">
        <v>370</v>
      </c>
      <c r="D113" s="19" t="s">
        <v>50</v>
      </c>
      <c r="E113" s="19" t="s">
        <v>234</v>
      </c>
      <c r="F113" s="20">
        <v>42856</v>
      </c>
      <c r="G113" s="25">
        <v>30</v>
      </c>
      <c r="H113" s="13">
        <f t="shared" si="35"/>
        <v>5000</v>
      </c>
      <c r="I113" s="13">
        <f t="shared" si="38"/>
        <v>0</v>
      </c>
      <c r="J113" s="13">
        <f t="shared" si="28"/>
        <v>250</v>
      </c>
      <c r="L113" s="13">
        <f t="shared" si="30"/>
        <v>800</v>
      </c>
      <c r="N113" s="13">
        <f t="shared" si="39"/>
        <v>5248</v>
      </c>
      <c r="P113" s="13">
        <f t="shared" si="26"/>
        <v>11298</v>
      </c>
      <c r="Q113" s="12">
        <f t="shared" si="27"/>
        <v>600</v>
      </c>
      <c r="R113" s="12">
        <f t="shared" si="36"/>
        <v>198</v>
      </c>
      <c r="S113" s="21">
        <v>0</v>
      </c>
      <c r="T113" s="28">
        <v>0</v>
      </c>
      <c r="U113" s="13">
        <f t="shared" si="34"/>
        <v>798</v>
      </c>
      <c r="V113" s="13">
        <f t="shared" si="37"/>
        <v>10500</v>
      </c>
      <c r="W113" s="11">
        <v>10500</v>
      </c>
      <c r="X113" s="16">
        <f t="shared" si="25"/>
        <v>0</v>
      </c>
    </row>
    <row r="114" spans="1:24" x14ac:dyDescent="0.2">
      <c r="A114" s="10" t="s">
        <v>604</v>
      </c>
      <c r="B114" s="11">
        <f t="shared" si="29"/>
        <v>105</v>
      </c>
      <c r="C114" s="11" t="s">
        <v>371</v>
      </c>
      <c r="D114" s="19" t="s">
        <v>50</v>
      </c>
      <c r="E114" s="19" t="s">
        <v>234</v>
      </c>
      <c r="F114" s="20">
        <v>42856</v>
      </c>
      <c r="G114" s="25">
        <v>30</v>
      </c>
      <c r="H114" s="13">
        <f t="shared" si="35"/>
        <v>5000</v>
      </c>
      <c r="I114" s="13">
        <f t="shared" si="38"/>
        <v>0</v>
      </c>
      <c r="J114" s="13">
        <f t="shared" si="28"/>
        <v>250</v>
      </c>
      <c r="L114" s="13">
        <f t="shared" si="30"/>
        <v>800</v>
      </c>
      <c r="N114" s="13">
        <f t="shared" si="39"/>
        <v>5248</v>
      </c>
      <c r="P114" s="13">
        <f t="shared" si="26"/>
        <v>11298</v>
      </c>
      <c r="Q114" s="12">
        <f t="shared" si="27"/>
        <v>600</v>
      </c>
      <c r="R114" s="12">
        <f t="shared" si="36"/>
        <v>198</v>
      </c>
      <c r="S114" s="21">
        <v>0</v>
      </c>
      <c r="T114" s="28">
        <v>0</v>
      </c>
      <c r="U114" s="13">
        <f t="shared" si="34"/>
        <v>798</v>
      </c>
      <c r="V114" s="13">
        <f t="shared" si="37"/>
        <v>10500</v>
      </c>
      <c r="W114" s="11">
        <v>10500</v>
      </c>
      <c r="X114" s="16">
        <f t="shared" si="25"/>
        <v>0</v>
      </c>
    </row>
    <row r="115" spans="1:24" x14ac:dyDescent="0.2">
      <c r="A115" s="10" t="s">
        <v>605</v>
      </c>
      <c r="B115" s="11">
        <f t="shared" si="29"/>
        <v>106</v>
      </c>
      <c r="C115" s="11" t="s">
        <v>483</v>
      </c>
      <c r="D115" s="19" t="s">
        <v>50</v>
      </c>
      <c r="E115" s="19" t="s">
        <v>238</v>
      </c>
      <c r="F115" s="20">
        <v>42856</v>
      </c>
      <c r="G115" s="25">
        <v>30</v>
      </c>
      <c r="H115" s="13">
        <f t="shared" si="35"/>
        <v>5000</v>
      </c>
      <c r="I115" s="13">
        <f t="shared" si="38"/>
        <v>0</v>
      </c>
      <c r="J115" s="13">
        <f t="shared" si="28"/>
        <v>250</v>
      </c>
      <c r="L115" s="13">
        <f t="shared" si="30"/>
        <v>800</v>
      </c>
      <c r="N115" s="13">
        <f t="shared" si="39"/>
        <v>5248</v>
      </c>
      <c r="P115" s="13">
        <f t="shared" si="26"/>
        <v>11298</v>
      </c>
      <c r="Q115" s="12">
        <f t="shared" si="27"/>
        <v>600</v>
      </c>
      <c r="R115" s="12">
        <f t="shared" si="36"/>
        <v>198</v>
      </c>
      <c r="S115" s="21">
        <v>0</v>
      </c>
      <c r="T115" s="28">
        <v>0</v>
      </c>
      <c r="U115" s="13">
        <f t="shared" si="34"/>
        <v>798</v>
      </c>
      <c r="V115" s="13">
        <f t="shared" si="37"/>
        <v>10500</v>
      </c>
      <c r="W115" s="11">
        <v>10500</v>
      </c>
      <c r="X115" s="16">
        <f t="shared" si="25"/>
        <v>0</v>
      </c>
    </row>
    <row r="116" spans="1:24" x14ac:dyDescent="0.2">
      <c r="A116" s="10" t="s">
        <v>606</v>
      </c>
      <c r="B116" s="11">
        <f t="shared" si="29"/>
        <v>107</v>
      </c>
      <c r="C116" s="11" t="s">
        <v>372</v>
      </c>
      <c r="D116" s="19" t="s">
        <v>50</v>
      </c>
      <c r="E116" s="19" t="s">
        <v>234</v>
      </c>
      <c r="F116" s="20">
        <v>42856</v>
      </c>
      <c r="G116" s="25">
        <v>30</v>
      </c>
      <c r="H116" s="13">
        <f t="shared" si="35"/>
        <v>5000</v>
      </c>
      <c r="I116" s="13">
        <f t="shared" si="38"/>
        <v>0</v>
      </c>
      <c r="J116" s="13">
        <f t="shared" si="28"/>
        <v>250</v>
      </c>
      <c r="L116" s="13">
        <f t="shared" si="30"/>
        <v>800</v>
      </c>
      <c r="N116" s="13">
        <f t="shared" si="39"/>
        <v>5248</v>
      </c>
      <c r="P116" s="13">
        <f t="shared" si="26"/>
        <v>11298</v>
      </c>
      <c r="Q116" s="12">
        <f t="shared" si="27"/>
        <v>600</v>
      </c>
      <c r="R116" s="12">
        <f t="shared" si="36"/>
        <v>198</v>
      </c>
      <c r="S116" s="21">
        <v>0</v>
      </c>
      <c r="T116" s="28">
        <v>0</v>
      </c>
      <c r="U116" s="13">
        <f t="shared" si="34"/>
        <v>798</v>
      </c>
      <c r="V116" s="13">
        <f t="shared" si="37"/>
        <v>10500</v>
      </c>
      <c r="W116" s="11">
        <v>10500</v>
      </c>
      <c r="X116" s="16">
        <f t="shared" si="25"/>
        <v>0</v>
      </c>
    </row>
    <row r="117" spans="1:24" x14ac:dyDescent="0.2">
      <c r="A117" s="10" t="s">
        <v>315</v>
      </c>
      <c r="B117" s="11">
        <f t="shared" si="29"/>
        <v>108</v>
      </c>
      <c r="C117" s="11" t="s">
        <v>492</v>
      </c>
      <c r="D117" s="19" t="s">
        <v>50</v>
      </c>
      <c r="E117" s="19" t="s">
        <v>234</v>
      </c>
      <c r="F117" s="20">
        <v>42873</v>
      </c>
      <c r="G117" s="25">
        <v>30</v>
      </c>
      <c r="H117" s="13">
        <f t="shared" si="35"/>
        <v>5000</v>
      </c>
      <c r="I117" s="13">
        <f t="shared" si="38"/>
        <v>0</v>
      </c>
      <c r="J117" s="13">
        <f t="shared" si="28"/>
        <v>250</v>
      </c>
      <c r="L117" s="13">
        <f t="shared" si="30"/>
        <v>800</v>
      </c>
      <c r="N117" s="13">
        <f t="shared" si="39"/>
        <v>5248</v>
      </c>
      <c r="P117" s="13">
        <f t="shared" si="26"/>
        <v>11298</v>
      </c>
      <c r="Q117" s="12">
        <f t="shared" si="27"/>
        <v>600</v>
      </c>
      <c r="R117" s="12">
        <f t="shared" si="36"/>
        <v>198</v>
      </c>
      <c r="S117" s="21">
        <v>0</v>
      </c>
      <c r="T117" s="28">
        <v>0</v>
      </c>
      <c r="U117" s="13">
        <f t="shared" si="34"/>
        <v>798</v>
      </c>
      <c r="V117" s="13">
        <f t="shared" si="37"/>
        <v>10500</v>
      </c>
      <c r="W117" s="11">
        <v>10500</v>
      </c>
      <c r="X117" s="16">
        <f t="shared" si="25"/>
        <v>0</v>
      </c>
    </row>
    <row r="118" spans="1:24" x14ac:dyDescent="0.2">
      <c r="A118" s="10" t="s">
        <v>607</v>
      </c>
      <c r="B118" s="11">
        <f t="shared" si="29"/>
        <v>109</v>
      </c>
      <c r="C118" s="11" t="s">
        <v>373</v>
      </c>
      <c r="D118" s="19" t="s">
        <v>50</v>
      </c>
      <c r="E118" s="19" t="s">
        <v>238</v>
      </c>
      <c r="F118" s="20">
        <v>42856</v>
      </c>
      <c r="G118" s="25">
        <v>30</v>
      </c>
      <c r="H118" s="13">
        <f t="shared" si="35"/>
        <v>5000</v>
      </c>
      <c r="I118" s="13">
        <f t="shared" si="38"/>
        <v>0</v>
      </c>
      <c r="J118" s="13">
        <f t="shared" si="28"/>
        <v>250</v>
      </c>
      <c r="L118" s="13">
        <f t="shared" si="30"/>
        <v>800</v>
      </c>
      <c r="N118" s="13">
        <f>((1950+1441+1857+0)/G$3)*G118</f>
        <v>5248</v>
      </c>
      <c r="P118" s="13">
        <f t="shared" si="26"/>
        <v>11298</v>
      </c>
      <c r="Q118" s="12">
        <f t="shared" si="27"/>
        <v>600</v>
      </c>
      <c r="R118" s="12">
        <f t="shared" si="36"/>
        <v>198</v>
      </c>
      <c r="S118" s="21">
        <v>0</v>
      </c>
      <c r="T118" s="28">
        <v>0</v>
      </c>
      <c r="U118" s="13">
        <f t="shared" si="34"/>
        <v>798</v>
      </c>
      <c r="V118" s="13">
        <f t="shared" si="37"/>
        <v>10500</v>
      </c>
      <c r="W118" s="11">
        <v>10500</v>
      </c>
      <c r="X118" s="16">
        <f t="shared" si="25"/>
        <v>0</v>
      </c>
    </row>
    <row r="119" spans="1:24" x14ac:dyDescent="0.2">
      <c r="A119" s="10" t="s">
        <v>608</v>
      </c>
      <c r="B119" s="11">
        <f t="shared" si="29"/>
        <v>110</v>
      </c>
      <c r="C119" s="11" t="s">
        <v>374</v>
      </c>
      <c r="D119" s="19" t="s">
        <v>50</v>
      </c>
      <c r="E119" s="19" t="s">
        <v>234</v>
      </c>
      <c r="F119" s="20">
        <v>42856</v>
      </c>
      <c r="G119" s="25">
        <v>30</v>
      </c>
      <c r="H119" s="13">
        <f t="shared" si="35"/>
        <v>5000</v>
      </c>
      <c r="I119" s="13">
        <f t="shared" si="38"/>
        <v>0</v>
      </c>
      <c r="J119" s="13">
        <f t="shared" si="28"/>
        <v>250</v>
      </c>
      <c r="L119" s="13">
        <f t="shared" si="30"/>
        <v>800</v>
      </c>
      <c r="N119" s="13">
        <f>((1950+1441+1857+0)/G$3)*G119</f>
        <v>5248</v>
      </c>
      <c r="P119" s="13">
        <f t="shared" si="26"/>
        <v>11298</v>
      </c>
      <c r="Q119" s="12">
        <f t="shared" si="27"/>
        <v>600</v>
      </c>
      <c r="R119" s="12">
        <f t="shared" si="36"/>
        <v>198</v>
      </c>
      <c r="S119" s="21">
        <v>0</v>
      </c>
      <c r="T119" s="28">
        <v>0</v>
      </c>
      <c r="U119" s="13">
        <f t="shared" si="34"/>
        <v>798</v>
      </c>
      <c r="V119" s="13">
        <f t="shared" si="37"/>
        <v>10500</v>
      </c>
      <c r="W119" s="11">
        <v>10500</v>
      </c>
      <c r="X119" s="16">
        <f t="shared" si="25"/>
        <v>0</v>
      </c>
    </row>
    <row r="120" spans="1:24" x14ac:dyDescent="0.2">
      <c r="A120" s="10" t="s">
        <v>609</v>
      </c>
      <c r="B120" s="11">
        <f t="shared" si="29"/>
        <v>111</v>
      </c>
      <c r="C120" s="11" t="s">
        <v>375</v>
      </c>
      <c r="D120" s="19" t="s">
        <v>50</v>
      </c>
      <c r="E120" s="19" t="s">
        <v>234</v>
      </c>
      <c r="F120" s="20">
        <v>42856</v>
      </c>
      <c r="G120" s="25">
        <v>30</v>
      </c>
      <c r="H120" s="13">
        <f t="shared" si="35"/>
        <v>5000</v>
      </c>
      <c r="I120" s="13">
        <f t="shared" si="38"/>
        <v>0</v>
      </c>
      <c r="J120" s="13">
        <f t="shared" si="28"/>
        <v>250</v>
      </c>
      <c r="L120" s="13">
        <f t="shared" si="30"/>
        <v>800</v>
      </c>
      <c r="N120" s="13">
        <f>((1950+1441+1857+0)/G$3)*G120</f>
        <v>5248</v>
      </c>
      <c r="P120" s="13">
        <f t="shared" si="26"/>
        <v>11298</v>
      </c>
      <c r="Q120" s="12">
        <f t="shared" si="27"/>
        <v>600</v>
      </c>
      <c r="R120" s="12">
        <f t="shared" si="36"/>
        <v>198</v>
      </c>
      <c r="S120" s="21">
        <v>0</v>
      </c>
      <c r="T120" s="28">
        <v>0</v>
      </c>
      <c r="U120" s="13">
        <f t="shared" si="34"/>
        <v>798</v>
      </c>
      <c r="V120" s="13">
        <f t="shared" si="37"/>
        <v>10500</v>
      </c>
      <c r="W120" s="11">
        <v>10500</v>
      </c>
      <c r="X120" s="16">
        <f t="shared" si="25"/>
        <v>0</v>
      </c>
    </row>
    <row r="121" spans="1:24" x14ac:dyDescent="0.2">
      <c r="A121" s="10" t="s">
        <v>610</v>
      </c>
      <c r="B121" s="11">
        <f t="shared" si="29"/>
        <v>112</v>
      </c>
      <c r="C121" s="11" t="s">
        <v>376</v>
      </c>
      <c r="D121" s="19" t="s">
        <v>50</v>
      </c>
      <c r="E121" s="19" t="s">
        <v>484</v>
      </c>
      <c r="F121" s="20">
        <v>42856</v>
      </c>
      <c r="G121" s="25">
        <v>30</v>
      </c>
      <c r="H121" s="13">
        <f t="shared" si="35"/>
        <v>5000</v>
      </c>
      <c r="I121" s="13">
        <f t="shared" si="38"/>
        <v>0</v>
      </c>
      <c r="J121" s="13">
        <f t="shared" si="28"/>
        <v>250</v>
      </c>
      <c r="L121" s="13">
        <f t="shared" si="30"/>
        <v>800</v>
      </c>
      <c r="N121" s="13">
        <f t="shared" ref="N121:N130" si="40">((1950+1441-178+1017+0)/G$3)*G121</f>
        <v>4230</v>
      </c>
      <c r="P121" s="13">
        <f t="shared" si="26"/>
        <v>10280</v>
      </c>
      <c r="Q121" s="12">
        <f t="shared" si="27"/>
        <v>600</v>
      </c>
      <c r="R121" s="12">
        <f t="shared" si="36"/>
        <v>180</v>
      </c>
      <c r="S121" s="21">
        <v>0</v>
      </c>
      <c r="T121" s="28">
        <v>0</v>
      </c>
      <c r="U121" s="13">
        <f t="shared" si="34"/>
        <v>780</v>
      </c>
      <c r="V121" s="13">
        <f t="shared" si="37"/>
        <v>9500</v>
      </c>
      <c r="W121" s="11">
        <v>9500</v>
      </c>
      <c r="X121" s="16">
        <f t="shared" si="25"/>
        <v>0</v>
      </c>
    </row>
    <row r="122" spans="1:24" x14ac:dyDescent="0.2">
      <c r="A122" s="10" t="s">
        <v>611</v>
      </c>
      <c r="B122" s="11">
        <f t="shared" si="29"/>
        <v>113</v>
      </c>
      <c r="C122" s="11" t="s">
        <v>377</v>
      </c>
      <c r="D122" s="19" t="s">
        <v>50</v>
      </c>
      <c r="E122" s="19" t="s">
        <v>484</v>
      </c>
      <c r="F122" s="20">
        <v>42856</v>
      </c>
      <c r="G122" s="25">
        <v>30</v>
      </c>
      <c r="H122" s="13">
        <f t="shared" si="35"/>
        <v>5000</v>
      </c>
      <c r="I122" s="13">
        <f t="shared" si="38"/>
        <v>0</v>
      </c>
      <c r="J122" s="13">
        <f t="shared" si="28"/>
        <v>250</v>
      </c>
      <c r="L122" s="13">
        <f t="shared" si="30"/>
        <v>800</v>
      </c>
      <c r="N122" s="13">
        <f t="shared" si="40"/>
        <v>4230</v>
      </c>
      <c r="P122" s="13">
        <f t="shared" si="26"/>
        <v>10280</v>
      </c>
      <c r="Q122" s="12">
        <f t="shared" si="27"/>
        <v>600</v>
      </c>
      <c r="R122" s="12">
        <f t="shared" si="36"/>
        <v>180</v>
      </c>
      <c r="S122" s="21">
        <v>0</v>
      </c>
      <c r="T122" s="28">
        <v>0</v>
      </c>
      <c r="U122" s="13">
        <f t="shared" si="34"/>
        <v>780</v>
      </c>
      <c r="V122" s="13">
        <f t="shared" si="37"/>
        <v>9500</v>
      </c>
      <c r="W122" s="11">
        <v>9500</v>
      </c>
      <c r="X122" s="16">
        <f t="shared" ref="X122:X185" si="41">W122-V122</f>
        <v>0</v>
      </c>
    </row>
    <row r="123" spans="1:24" x14ac:dyDescent="0.2">
      <c r="A123" s="10" t="s">
        <v>612</v>
      </c>
      <c r="B123" s="11">
        <f t="shared" si="29"/>
        <v>114</v>
      </c>
      <c r="C123" s="11" t="s">
        <v>378</v>
      </c>
      <c r="D123" s="19" t="s">
        <v>50</v>
      </c>
      <c r="E123" s="19" t="s">
        <v>484</v>
      </c>
      <c r="F123" s="20">
        <v>42856</v>
      </c>
      <c r="G123" s="25">
        <v>30</v>
      </c>
      <c r="H123" s="13">
        <f t="shared" si="35"/>
        <v>5000</v>
      </c>
      <c r="I123" s="13">
        <f t="shared" si="38"/>
        <v>0</v>
      </c>
      <c r="J123" s="13">
        <f t="shared" si="28"/>
        <v>250</v>
      </c>
      <c r="L123" s="13">
        <f t="shared" si="30"/>
        <v>800</v>
      </c>
      <c r="N123" s="13">
        <f t="shared" si="40"/>
        <v>4230</v>
      </c>
      <c r="P123" s="13">
        <f t="shared" si="26"/>
        <v>10280</v>
      </c>
      <c r="Q123" s="12">
        <f t="shared" si="27"/>
        <v>600</v>
      </c>
      <c r="R123" s="12">
        <f t="shared" si="36"/>
        <v>180</v>
      </c>
      <c r="S123" s="21">
        <v>0</v>
      </c>
      <c r="T123" s="28">
        <v>0</v>
      </c>
      <c r="U123" s="13">
        <f t="shared" si="34"/>
        <v>780</v>
      </c>
      <c r="V123" s="13">
        <f t="shared" si="37"/>
        <v>9500</v>
      </c>
      <c r="W123" s="11">
        <v>9500</v>
      </c>
      <c r="X123" s="16">
        <f t="shared" si="41"/>
        <v>0</v>
      </c>
    </row>
    <row r="124" spans="1:24" x14ac:dyDescent="0.2">
      <c r="A124" s="10" t="s">
        <v>613</v>
      </c>
      <c r="B124" s="11">
        <f t="shared" si="29"/>
        <v>115</v>
      </c>
      <c r="C124" s="11" t="s">
        <v>379</v>
      </c>
      <c r="D124" s="19" t="s">
        <v>50</v>
      </c>
      <c r="E124" s="19" t="s">
        <v>484</v>
      </c>
      <c r="F124" s="20">
        <v>42856</v>
      </c>
      <c r="G124" s="25">
        <v>30</v>
      </c>
      <c r="H124" s="13">
        <f t="shared" si="35"/>
        <v>5000</v>
      </c>
      <c r="I124" s="13">
        <f t="shared" si="38"/>
        <v>0</v>
      </c>
      <c r="J124" s="13">
        <f t="shared" si="28"/>
        <v>250</v>
      </c>
      <c r="L124" s="13">
        <f t="shared" si="30"/>
        <v>800</v>
      </c>
      <c r="N124" s="13">
        <f t="shared" si="40"/>
        <v>4230</v>
      </c>
      <c r="P124" s="13">
        <f t="shared" si="26"/>
        <v>10280</v>
      </c>
      <c r="Q124" s="12">
        <f t="shared" si="27"/>
        <v>600</v>
      </c>
      <c r="R124" s="12">
        <f t="shared" si="36"/>
        <v>180</v>
      </c>
      <c r="S124" s="21">
        <v>0</v>
      </c>
      <c r="T124" s="28">
        <v>0</v>
      </c>
      <c r="U124" s="13">
        <f t="shared" si="34"/>
        <v>780</v>
      </c>
      <c r="V124" s="13">
        <f t="shared" si="37"/>
        <v>9500</v>
      </c>
      <c r="W124" s="11">
        <v>9500</v>
      </c>
      <c r="X124" s="16">
        <f t="shared" si="41"/>
        <v>0</v>
      </c>
    </row>
    <row r="125" spans="1:24" x14ac:dyDescent="0.2">
      <c r="A125" s="10" t="s">
        <v>614</v>
      </c>
      <c r="B125" s="11">
        <f t="shared" si="29"/>
        <v>116</v>
      </c>
      <c r="C125" s="11" t="s">
        <v>380</v>
      </c>
      <c r="D125" s="19" t="s">
        <v>50</v>
      </c>
      <c r="E125" s="19" t="s">
        <v>484</v>
      </c>
      <c r="F125" s="20">
        <v>42856</v>
      </c>
      <c r="G125" s="25">
        <v>30</v>
      </c>
      <c r="H125" s="13">
        <f t="shared" si="35"/>
        <v>5000</v>
      </c>
      <c r="I125" s="13">
        <f t="shared" si="38"/>
        <v>0</v>
      </c>
      <c r="J125" s="13">
        <f t="shared" si="28"/>
        <v>250</v>
      </c>
      <c r="L125" s="13">
        <f t="shared" si="30"/>
        <v>800</v>
      </c>
      <c r="N125" s="13">
        <f t="shared" si="40"/>
        <v>4230</v>
      </c>
      <c r="P125" s="13">
        <f t="shared" si="26"/>
        <v>10280</v>
      </c>
      <c r="Q125" s="12">
        <f t="shared" si="27"/>
        <v>600</v>
      </c>
      <c r="R125" s="12">
        <f t="shared" si="36"/>
        <v>180</v>
      </c>
      <c r="S125" s="21">
        <v>0</v>
      </c>
      <c r="T125" s="28">
        <v>0</v>
      </c>
      <c r="U125" s="13">
        <f t="shared" si="34"/>
        <v>780</v>
      </c>
      <c r="V125" s="13">
        <f t="shared" si="37"/>
        <v>9500</v>
      </c>
      <c r="W125" s="11">
        <v>9500</v>
      </c>
      <c r="X125" s="16">
        <f t="shared" si="41"/>
        <v>0</v>
      </c>
    </row>
    <row r="126" spans="1:24" x14ac:dyDescent="0.2">
      <c r="A126" s="10" t="s">
        <v>615</v>
      </c>
      <c r="B126" s="11">
        <f t="shared" si="29"/>
        <v>117</v>
      </c>
      <c r="C126" s="11" t="s">
        <v>381</v>
      </c>
      <c r="D126" s="19" t="s">
        <v>50</v>
      </c>
      <c r="E126" s="19" t="s">
        <v>484</v>
      </c>
      <c r="F126" s="20">
        <v>42856</v>
      </c>
      <c r="G126" s="25">
        <v>30</v>
      </c>
      <c r="H126" s="13">
        <f t="shared" si="35"/>
        <v>5000</v>
      </c>
      <c r="I126" s="13">
        <f t="shared" si="38"/>
        <v>0</v>
      </c>
      <c r="J126" s="13">
        <f t="shared" si="28"/>
        <v>250</v>
      </c>
      <c r="L126" s="13">
        <f t="shared" si="30"/>
        <v>800</v>
      </c>
      <c r="N126" s="13">
        <f t="shared" si="40"/>
        <v>4230</v>
      </c>
      <c r="P126" s="13">
        <f t="shared" si="26"/>
        <v>10280</v>
      </c>
      <c r="Q126" s="12">
        <f t="shared" si="27"/>
        <v>600</v>
      </c>
      <c r="R126" s="12">
        <f t="shared" si="36"/>
        <v>180</v>
      </c>
      <c r="S126" s="21">
        <v>0</v>
      </c>
      <c r="T126" s="28">
        <v>0</v>
      </c>
      <c r="U126" s="13">
        <f t="shared" si="34"/>
        <v>780</v>
      </c>
      <c r="V126" s="13">
        <f t="shared" si="37"/>
        <v>9500</v>
      </c>
      <c r="W126" s="11">
        <v>9500</v>
      </c>
      <c r="X126" s="16">
        <f t="shared" si="41"/>
        <v>0</v>
      </c>
    </row>
    <row r="127" spans="1:24" x14ac:dyDescent="0.2">
      <c r="A127" s="10" t="s">
        <v>616</v>
      </c>
      <c r="B127" s="11">
        <f t="shared" si="29"/>
        <v>118</v>
      </c>
      <c r="C127" s="11" t="s">
        <v>382</v>
      </c>
      <c r="D127" s="19" t="s">
        <v>50</v>
      </c>
      <c r="E127" s="19" t="s">
        <v>484</v>
      </c>
      <c r="F127" s="20">
        <v>42882</v>
      </c>
      <c r="G127" s="25">
        <v>30</v>
      </c>
      <c r="H127" s="13">
        <f t="shared" si="35"/>
        <v>5000</v>
      </c>
      <c r="I127" s="13">
        <f t="shared" si="38"/>
        <v>0</v>
      </c>
      <c r="J127" s="13">
        <f t="shared" si="28"/>
        <v>250</v>
      </c>
      <c r="L127" s="13">
        <f t="shared" si="30"/>
        <v>800</v>
      </c>
      <c r="N127" s="13">
        <f t="shared" si="40"/>
        <v>4230</v>
      </c>
      <c r="P127" s="13">
        <f t="shared" si="26"/>
        <v>10280</v>
      </c>
      <c r="Q127" s="12">
        <f t="shared" si="27"/>
        <v>600</v>
      </c>
      <c r="R127" s="12">
        <f t="shared" si="36"/>
        <v>180</v>
      </c>
      <c r="S127" s="21">
        <v>0</v>
      </c>
      <c r="T127" s="28">
        <v>0</v>
      </c>
      <c r="U127" s="13">
        <f t="shared" si="34"/>
        <v>780</v>
      </c>
      <c r="V127" s="13">
        <f t="shared" si="37"/>
        <v>9500</v>
      </c>
      <c r="W127" s="11">
        <v>9500</v>
      </c>
      <c r="X127" s="16">
        <f t="shared" si="41"/>
        <v>0</v>
      </c>
    </row>
    <row r="128" spans="1:24" x14ac:dyDescent="0.2">
      <c r="A128" s="10" t="s">
        <v>617</v>
      </c>
      <c r="B128" s="11">
        <f t="shared" si="29"/>
        <v>119</v>
      </c>
      <c r="C128" s="11" t="s">
        <v>383</v>
      </c>
      <c r="D128" s="19" t="s">
        <v>50</v>
      </c>
      <c r="E128" s="19" t="s">
        <v>484</v>
      </c>
      <c r="F128" s="20">
        <v>42882</v>
      </c>
      <c r="G128" s="25">
        <v>30</v>
      </c>
      <c r="H128" s="13">
        <f t="shared" si="35"/>
        <v>5000</v>
      </c>
      <c r="I128" s="13">
        <f t="shared" si="38"/>
        <v>0</v>
      </c>
      <c r="J128" s="13">
        <f t="shared" si="28"/>
        <v>250</v>
      </c>
      <c r="L128" s="13">
        <f t="shared" si="30"/>
        <v>800</v>
      </c>
      <c r="N128" s="13">
        <f t="shared" si="40"/>
        <v>4230</v>
      </c>
      <c r="P128" s="13">
        <f t="shared" si="26"/>
        <v>10280</v>
      </c>
      <c r="Q128" s="12">
        <f t="shared" si="27"/>
        <v>600</v>
      </c>
      <c r="R128" s="12">
        <f t="shared" si="36"/>
        <v>180</v>
      </c>
      <c r="S128" s="21">
        <v>0</v>
      </c>
      <c r="T128" s="28">
        <v>0</v>
      </c>
      <c r="U128" s="13">
        <f t="shared" si="34"/>
        <v>780</v>
      </c>
      <c r="V128" s="13">
        <f t="shared" si="37"/>
        <v>9500</v>
      </c>
      <c r="W128" s="11">
        <v>9500</v>
      </c>
      <c r="X128" s="16">
        <f t="shared" si="41"/>
        <v>0</v>
      </c>
    </row>
    <row r="129" spans="1:24" x14ac:dyDescent="0.2">
      <c r="A129" s="10" t="s">
        <v>618</v>
      </c>
      <c r="B129" s="11">
        <f t="shared" si="29"/>
        <v>120</v>
      </c>
      <c r="C129" s="11" t="s">
        <v>384</v>
      </c>
      <c r="D129" s="19" t="s">
        <v>50</v>
      </c>
      <c r="E129" s="19" t="s">
        <v>484</v>
      </c>
      <c r="F129" s="20">
        <v>42856</v>
      </c>
      <c r="G129" s="25">
        <v>30</v>
      </c>
      <c r="H129" s="13">
        <f t="shared" si="35"/>
        <v>5000</v>
      </c>
      <c r="I129" s="13">
        <f t="shared" si="38"/>
        <v>0</v>
      </c>
      <c r="J129" s="13">
        <f t="shared" si="28"/>
        <v>250</v>
      </c>
      <c r="L129" s="13">
        <f t="shared" si="30"/>
        <v>800</v>
      </c>
      <c r="N129" s="13">
        <f t="shared" si="40"/>
        <v>4230</v>
      </c>
      <c r="P129" s="13">
        <f t="shared" si="26"/>
        <v>10280</v>
      </c>
      <c r="Q129" s="12">
        <f t="shared" si="27"/>
        <v>600</v>
      </c>
      <c r="R129" s="12">
        <f t="shared" si="36"/>
        <v>180</v>
      </c>
      <c r="S129" s="21">
        <v>0</v>
      </c>
      <c r="T129" s="28">
        <v>0</v>
      </c>
      <c r="U129" s="13">
        <f t="shared" si="34"/>
        <v>780</v>
      </c>
      <c r="V129" s="13">
        <f t="shared" si="37"/>
        <v>9500</v>
      </c>
      <c r="W129" s="11">
        <v>9500</v>
      </c>
      <c r="X129" s="16">
        <f t="shared" si="41"/>
        <v>0</v>
      </c>
    </row>
    <row r="130" spans="1:24" x14ac:dyDescent="0.2">
      <c r="A130" s="10" t="s">
        <v>619</v>
      </c>
      <c r="B130" s="11">
        <f t="shared" si="29"/>
        <v>121</v>
      </c>
      <c r="C130" s="11" t="s">
        <v>385</v>
      </c>
      <c r="D130" s="19" t="s">
        <v>50</v>
      </c>
      <c r="E130" s="19" t="s">
        <v>484</v>
      </c>
      <c r="F130" s="20">
        <v>42856</v>
      </c>
      <c r="G130" s="25">
        <v>30</v>
      </c>
      <c r="H130" s="13">
        <f t="shared" si="35"/>
        <v>5000</v>
      </c>
      <c r="I130" s="13">
        <f t="shared" si="38"/>
        <v>0</v>
      </c>
      <c r="J130" s="13">
        <f t="shared" si="28"/>
        <v>250</v>
      </c>
      <c r="L130" s="13">
        <f t="shared" si="30"/>
        <v>800</v>
      </c>
      <c r="N130" s="13">
        <f t="shared" si="40"/>
        <v>4230</v>
      </c>
      <c r="P130" s="13">
        <f t="shared" si="26"/>
        <v>10280</v>
      </c>
      <c r="Q130" s="12">
        <f t="shared" si="27"/>
        <v>600</v>
      </c>
      <c r="R130" s="12">
        <f t="shared" si="36"/>
        <v>180</v>
      </c>
      <c r="S130" s="21">
        <v>0</v>
      </c>
      <c r="T130" s="28">
        <v>0</v>
      </c>
      <c r="U130" s="13">
        <f t="shared" si="34"/>
        <v>780</v>
      </c>
      <c r="V130" s="13">
        <f t="shared" si="37"/>
        <v>9500</v>
      </c>
      <c r="W130" s="11">
        <v>9500</v>
      </c>
      <c r="X130" s="16">
        <f t="shared" si="41"/>
        <v>0</v>
      </c>
    </row>
    <row r="131" spans="1:24" x14ac:dyDescent="0.2">
      <c r="A131" s="10" t="s">
        <v>620</v>
      </c>
      <c r="B131" s="11">
        <f t="shared" si="29"/>
        <v>122</v>
      </c>
      <c r="C131" s="11" t="s">
        <v>354</v>
      </c>
      <c r="D131" s="19" t="s">
        <v>50</v>
      </c>
      <c r="E131" s="19" t="s">
        <v>237</v>
      </c>
      <c r="F131" s="20">
        <v>42277</v>
      </c>
      <c r="G131" s="25">
        <v>30</v>
      </c>
      <c r="H131" s="13">
        <f t="shared" si="35"/>
        <v>5000</v>
      </c>
      <c r="I131" s="13">
        <f t="shared" si="38"/>
        <v>0</v>
      </c>
      <c r="J131" s="13">
        <f t="shared" si="28"/>
        <v>250</v>
      </c>
      <c r="L131" s="13">
        <f t="shared" si="30"/>
        <v>800</v>
      </c>
      <c r="N131" s="13">
        <f>((1950+1441+4137+0)/G$3)*G131</f>
        <v>7528</v>
      </c>
      <c r="P131" s="13">
        <f t="shared" si="26"/>
        <v>13578</v>
      </c>
      <c r="Q131" s="12">
        <f t="shared" si="27"/>
        <v>600</v>
      </c>
      <c r="R131" s="12">
        <f t="shared" si="36"/>
        <v>238</v>
      </c>
      <c r="S131" s="21">
        <v>0</v>
      </c>
      <c r="T131" s="28">
        <v>0</v>
      </c>
      <c r="U131" s="13">
        <f t="shared" si="34"/>
        <v>838</v>
      </c>
      <c r="V131" s="13">
        <f t="shared" si="37"/>
        <v>12740</v>
      </c>
      <c r="W131" s="11">
        <v>12740</v>
      </c>
      <c r="X131" s="16">
        <f t="shared" si="41"/>
        <v>0</v>
      </c>
    </row>
    <row r="132" spans="1:24" x14ac:dyDescent="0.2">
      <c r="A132" s="10" t="s">
        <v>621</v>
      </c>
      <c r="B132" s="11">
        <f t="shared" si="29"/>
        <v>123</v>
      </c>
      <c r="C132" s="11" t="s">
        <v>482</v>
      </c>
      <c r="D132" s="19" t="s">
        <v>50</v>
      </c>
      <c r="E132" s="19" t="s">
        <v>234</v>
      </c>
      <c r="F132" s="20">
        <v>42856</v>
      </c>
      <c r="G132" s="25">
        <v>30</v>
      </c>
      <c r="H132" s="13">
        <f t="shared" si="35"/>
        <v>5000</v>
      </c>
      <c r="I132" s="13">
        <f t="shared" si="38"/>
        <v>0</v>
      </c>
      <c r="J132" s="13">
        <f t="shared" si="28"/>
        <v>250</v>
      </c>
      <c r="L132" s="13">
        <f t="shared" si="30"/>
        <v>800</v>
      </c>
      <c r="N132" s="13">
        <f>((1950+1441-178+1017+1018+0)/G$3)*G132</f>
        <v>5248</v>
      </c>
      <c r="P132" s="13">
        <f t="shared" si="26"/>
        <v>11298</v>
      </c>
      <c r="Q132" s="12">
        <f t="shared" si="27"/>
        <v>600</v>
      </c>
      <c r="R132" s="12">
        <f t="shared" si="36"/>
        <v>198</v>
      </c>
      <c r="S132" s="21">
        <v>0</v>
      </c>
      <c r="T132" s="28">
        <v>0</v>
      </c>
      <c r="U132" s="13">
        <f t="shared" si="34"/>
        <v>798</v>
      </c>
      <c r="V132" s="13">
        <f t="shared" si="37"/>
        <v>10500</v>
      </c>
      <c r="W132" s="11">
        <v>10500</v>
      </c>
      <c r="X132" s="16">
        <f t="shared" si="41"/>
        <v>0</v>
      </c>
    </row>
    <row r="133" spans="1:24" x14ac:dyDescent="0.2">
      <c r="A133" s="10" t="s">
        <v>622</v>
      </c>
      <c r="B133" s="11">
        <f t="shared" si="29"/>
        <v>124</v>
      </c>
      <c r="C133" s="11" t="s">
        <v>386</v>
      </c>
      <c r="D133" s="19" t="s">
        <v>50</v>
      </c>
      <c r="E133" s="19" t="s">
        <v>234</v>
      </c>
      <c r="F133" s="20">
        <v>42856</v>
      </c>
      <c r="G133" s="25">
        <v>30</v>
      </c>
      <c r="H133" s="13">
        <f t="shared" si="35"/>
        <v>5000</v>
      </c>
      <c r="I133" s="13">
        <f t="shared" si="38"/>
        <v>0</v>
      </c>
      <c r="J133" s="13">
        <f t="shared" si="28"/>
        <v>250</v>
      </c>
      <c r="L133" s="13">
        <f t="shared" si="30"/>
        <v>800</v>
      </c>
      <c r="N133" s="13">
        <f>((1950+1441-178+1017+1018+0)/G$3)*G133</f>
        <v>5248</v>
      </c>
      <c r="P133" s="13">
        <f t="shared" si="26"/>
        <v>11298</v>
      </c>
      <c r="Q133" s="12">
        <f t="shared" si="27"/>
        <v>600</v>
      </c>
      <c r="R133" s="12">
        <f t="shared" si="36"/>
        <v>198</v>
      </c>
      <c r="S133" s="21">
        <v>0</v>
      </c>
      <c r="T133" s="28">
        <v>0</v>
      </c>
      <c r="U133" s="13">
        <f t="shared" si="34"/>
        <v>798</v>
      </c>
      <c r="V133" s="13">
        <f t="shared" si="37"/>
        <v>10500</v>
      </c>
      <c r="W133" s="11">
        <v>10500</v>
      </c>
      <c r="X133" s="16">
        <f t="shared" si="41"/>
        <v>0</v>
      </c>
    </row>
    <row r="134" spans="1:24" x14ac:dyDescent="0.2">
      <c r="A134" s="10" t="s">
        <v>623</v>
      </c>
      <c r="B134" s="11">
        <f t="shared" si="29"/>
        <v>125</v>
      </c>
      <c r="C134" s="11" t="s">
        <v>387</v>
      </c>
      <c r="D134" s="19" t="s">
        <v>50</v>
      </c>
      <c r="E134" s="19" t="s">
        <v>484</v>
      </c>
      <c r="F134" s="20">
        <v>42856</v>
      </c>
      <c r="G134" s="25">
        <v>30</v>
      </c>
      <c r="H134" s="13">
        <f t="shared" si="35"/>
        <v>5000</v>
      </c>
      <c r="I134" s="13">
        <f t="shared" si="38"/>
        <v>0</v>
      </c>
      <c r="J134" s="13">
        <f t="shared" si="28"/>
        <v>250</v>
      </c>
      <c r="L134" s="13">
        <f t="shared" si="30"/>
        <v>800</v>
      </c>
      <c r="N134" s="13">
        <f>((1950+1441-178+1017+0)/G$3)*G134</f>
        <v>4230</v>
      </c>
      <c r="P134" s="13">
        <f t="shared" ref="P134:P197" si="42">SUM(H134:O134)</f>
        <v>10280</v>
      </c>
      <c r="Q134" s="12">
        <f t="shared" ref="Q134:Q197" si="43">(H134+I134)*12%</f>
        <v>600</v>
      </c>
      <c r="R134" s="12">
        <f t="shared" si="36"/>
        <v>180</v>
      </c>
      <c r="S134" s="21">
        <v>0</v>
      </c>
      <c r="T134" s="28">
        <v>0</v>
      </c>
      <c r="U134" s="13">
        <f t="shared" si="34"/>
        <v>780</v>
      </c>
      <c r="V134" s="13">
        <f t="shared" si="37"/>
        <v>9500</v>
      </c>
      <c r="W134" s="11">
        <v>9500</v>
      </c>
      <c r="X134" s="16">
        <f t="shared" si="41"/>
        <v>0</v>
      </c>
    </row>
    <row r="135" spans="1:24" x14ac:dyDescent="0.2">
      <c r="A135" s="10" t="s">
        <v>624</v>
      </c>
      <c r="B135" s="11">
        <f t="shared" si="29"/>
        <v>126</v>
      </c>
      <c r="C135" s="11" t="s">
        <v>388</v>
      </c>
      <c r="D135" s="19" t="s">
        <v>50</v>
      </c>
      <c r="E135" s="19" t="s">
        <v>234</v>
      </c>
      <c r="F135" s="20">
        <v>42856</v>
      </c>
      <c r="G135" s="25">
        <v>30</v>
      </c>
      <c r="H135" s="13">
        <f t="shared" si="35"/>
        <v>5000</v>
      </c>
      <c r="I135" s="13">
        <f t="shared" si="38"/>
        <v>0</v>
      </c>
      <c r="J135" s="13">
        <f t="shared" ref="J135:J198" si="44">(H135+I135)*5%</f>
        <v>250</v>
      </c>
      <c r="L135" s="13">
        <f t="shared" si="30"/>
        <v>800</v>
      </c>
      <c r="N135" s="13">
        <f>((1950+1441-178+1017+1018+0)/G$3)*G135</f>
        <v>5248</v>
      </c>
      <c r="P135" s="13">
        <f t="shared" si="42"/>
        <v>11298</v>
      </c>
      <c r="Q135" s="12">
        <f t="shared" si="43"/>
        <v>600</v>
      </c>
      <c r="R135" s="12">
        <f t="shared" si="36"/>
        <v>198</v>
      </c>
      <c r="S135" s="21">
        <v>0</v>
      </c>
      <c r="T135" s="28">
        <v>0</v>
      </c>
      <c r="U135" s="13">
        <f t="shared" si="34"/>
        <v>798</v>
      </c>
      <c r="V135" s="13">
        <f t="shared" si="37"/>
        <v>10500</v>
      </c>
      <c r="W135" s="11">
        <v>10500</v>
      </c>
      <c r="X135" s="16">
        <f t="shared" si="41"/>
        <v>0</v>
      </c>
    </row>
    <row r="136" spans="1:24" x14ac:dyDescent="0.2">
      <c r="A136" s="10" t="s">
        <v>625</v>
      </c>
      <c r="B136" s="11">
        <f t="shared" si="29"/>
        <v>127</v>
      </c>
      <c r="C136" s="11" t="s">
        <v>389</v>
      </c>
      <c r="D136" s="19" t="s">
        <v>50</v>
      </c>
      <c r="E136" s="19" t="s">
        <v>234</v>
      </c>
      <c r="F136" s="20">
        <v>42856</v>
      </c>
      <c r="G136" s="25">
        <v>30</v>
      </c>
      <c r="H136" s="13">
        <f t="shared" si="35"/>
        <v>5000</v>
      </c>
      <c r="I136" s="13">
        <f t="shared" si="38"/>
        <v>0</v>
      </c>
      <c r="J136" s="13">
        <f t="shared" si="44"/>
        <v>250</v>
      </c>
      <c r="L136" s="13">
        <f t="shared" si="30"/>
        <v>800</v>
      </c>
      <c r="N136" s="13">
        <f>((1950+1441-178+1017+1018+0)/G$3)*G136</f>
        <v>5248</v>
      </c>
      <c r="P136" s="13">
        <f t="shared" si="42"/>
        <v>11298</v>
      </c>
      <c r="Q136" s="12">
        <f t="shared" si="43"/>
        <v>600</v>
      </c>
      <c r="R136" s="12">
        <f t="shared" si="36"/>
        <v>198</v>
      </c>
      <c r="S136" s="21">
        <v>0</v>
      </c>
      <c r="T136" s="28">
        <v>0</v>
      </c>
      <c r="U136" s="13">
        <f t="shared" si="34"/>
        <v>798</v>
      </c>
      <c r="V136" s="13">
        <f t="shared" si="37"/>
        <v>10500</v>
      </c>
      <c r="W136" s="11">
        <v>10500</v>
      </c>
      <c r="X136" s="16">
        <f t="shared" si="41"/>
        <v>0</v>
      </c>
    </row>
    <row r="137" spans="1:24" x14ac:dyDescent="0.2">
      <c r="A137" s="10" t="s">
        <v>626</v>
      </c>
      <c r="B137" s="11">
        <f t="shared" ref="B137:B200" si="45">B136+1</f>
        <v>128</v>
      </c>
      <c r="C137" s="11" t="s">
        <v>390</v>
      </c>
      <c r="D137" s="19" t="s">
        <v>50</v>
      </c>
      <c r="E137" s="19" t="s">
        <v>234</v>
      </c>
      <c r="F137" s="20">
        <v>42856</v>
      </c>
      <c r="G137" s="25">
        <v>30</v>
      </c>
      <c r="H137" s="13">
        <f t="shared" si="35"/>
        <v>5000</v>
      </c>
      <c r="I137" s="13">
        <f t="shared" si="38"/>
        <v>0</v>
      </c>
      <c r="J137" s="13">
        <f t="shared" si="44"/>
        <v>250</v>
      </c>
      <c r="L137" s="13">
        <f t="shared" si="30"/>
        <v>800</v>
      </c>
      <c r="N137" s="13">
        <f>((1950+1441-178+1017+1018+0)/G$3)*G137</f>
        <v>5248</v>
      </c>
      <c r="P137" s="13">
        <f t="shared" si="42"/>
        <v>11298</v>
      </c>
      <c r="Q137" s="12">
        <f t="shared" si="43"/>
        <v>600</v>
      </c>
      <c r="R137" s="12">
        <f t="shared" si="36"/>
        <v>198</v>
      </c>
      <c r="S137" s="21">
        <v>0</v>
      </c>
      <c r="T137" s="28">
        <v>0</v>
      </c>
      <c r="U137" s="13">
        <f t="shared" si="34"/>
        <v>798</v>
      </c>
      <c r="V137" s="13">
        <f t="shared" si="37"/>
        <v>10500</v>
      </c>
      <c r="W137" s="11">
        <v>10500</v>
      </c>
      <c r="X137" s="16">
        <f t="shared" si="41"/>
        <v>0</v>
      </c>
    </row>
    <row r="138" spans="1:24" s="32" customFormat="1" x14ac:dyDescent="0.2">
      <c r="A138" s="33" t="s">
        <v>627</v>
      </c>
      <c r="B138" s="32">
        <f t="shared" si="45"/>
        <v>129</v>
      </c>
      <c r="C138" s="32" t="s">
        <v>391</v>
      </c>
      <c r="D138" s="34" t="s">
        <v>50</v>
      </c>
      <c r="E138" s="34" t="s">
        <v>232</v>
      </c>
      <c r="F138" s="35">
        <v>42875</v>
      </c>
      <c r="G138" s="32">
        <v>30</v>
      </c>
      <c r="H138" s="36">
        <f t="shared" si="35"/>
        <v>5000</v>
      </c>
      <c r="I138" s="36">
        <f t="shared" si="38"/>
        <v>0</v>
      </c>
      <c r="J138" s="36">
        <f t="shared" si="44"/>
        <v>250</v>
      </c>
      <c r="K138" s="36"/>
      <c r="L138" s="36">
        <f t="shared" ref="L138:L201" si="46">((800)/G$3)*G138</f>
        <v>800</v>
      </c>
      <c r="M138" s="36"/>
      <c r="N138" s="36">
        <f>((1950+1441-178+1017+0)/G$3)*G138</f>
        <v>4230</v>
      </c>
      <c r="O138" s="36"/>
      <c r="P138" s="36">
        <f t="shared" si="42"/>
        <v>10280</v>
      </c>
      <c r="Q138" s="37">
        <f t="shared" si="43"/>
        <v>600</v>
      </c>
      <c r="R138" s="37">
        <f t="shared" si="36"/>
        <v>180</v>
      </c>
      <c r="S138" s="38">
        <v>0</v>
      </c>
      <c r="T138" s="36">
        <v>0</v>
      </c>
      <c r="U138" s="36">
        <f t="shared" si="34"/>
        <v>780</v>
      </c>
      <c r="V138" s="36">
        <f t="shared" si="37"/>
        <v>9500</v>
      </c>
      <c r="W138" s="11">
        <v>9500</v>
      </c>
      <c r="X138" s="39">
        <f t="shared" si="41"/>
        <v>0</v>
      </c>
    </row>
    <row r="139" spans="1:24" x14ac:dyDescent="0.2">
      <c r="A139" s="10" t="s">
        <v>628</v>
      </c>
      <c r="B139" s="11">
        <f t="shared" si="45"/>
        <v>130</v>
      </c>
      <c r="C139" s="11" t="s">
        <v>393</v>
      </c>
      <c r="D139" s="19" t="s">
        <v>50</v>
      </c>
      <c r="E139" s="19" t="s">
        <v>232</v>
      </c>
      <c r="F139" s="20">
        <v>42856</v>
      </c>
      <c r="G139" s="25">
        <v>30</v>
      </c>
      <c r="H139" s="13">
        <f t="shared" si="35"/>
        <v>5000</v>
      </c>
      <c r="I139" s="13">
        <f t="shared" si="38"/>
        <v>0</v>
      </c>
      <c r="J139" s="13">
        <f t="shared" si="44"/>
        <v>250</v>
      </c>
      <c r="L139" s="13">
        <f t="shared" si="46"/>
        <v>800</v>
      </c>
      <c r="N139" s="13">
        <f>((1950+1441-178+1017+0)/G$3)*G139</f>
        <v>4230</v>
      </c>
      <c r="P139" s="13">
        <f t="shared" si="42"/>
        <v>10280</v>
      </c>
      <c r="Q139" s="12">
        <f t="shared" si="43"/>
        <v>600</v>
      </c>
      <c r="R139" s="12">
        <f t="shared" si="36"/>
        <v>180</v>
      </c>
      <c r="S139" s="21">
        <v>0</v>
      </c>
      <c r="T139" s="28">
        <v>0</v>
      </c>
      <c r="U139" s="13">
        <f t="shared" si="34"/>
        <v>780</v>
      </c>
      <c r="V139" s="13">
        <f t="shared" si="37"/>
        <v>9500</v>
      </c>
      <c r="W139" s="11">
        <v>9500</v>
      </c>
      <c r="X139" s="16">
        <f t="shared" si="41"/>
        <v>0</v>
      </c>
    </row>
    <row r="140" spans="1:24" x14ac:dyDescent="0.2">
      <c r="A140" s="10" t="s">
        <v>629</v>
      </c>
      <c r="B140" s="11">
        <f t="shared" si="45"/>
        <v>131</v>
      </c>
      <c r="C140" s="11" t="s">
        <v>394</v>
      </c>
      <c r="D140" s="19" t="s">
        <v>50</v>
      </c>
      <c r="E140" s="19" t="s">
        <v>484</v>
      </c>
      <c r="F140" s="20">
        <v>42856</v>
      </c>
      <c r="G140" s="25">
        <v>30</v>
      </c>
      <c r="H140" s="13">
        <f t="shared" si="35"/>
        <v>5000</v>
      </c>
      <c r="I140" s="13">
        <f t="shared" si="38"/>
        <v>0</v>
      </c>
      <c r="J140" s="13">
        <f t="shared" si="44"/>
        <v>250</v>
      </c>
      <c r="L140" s="13">
        <f t="shared" si="46"/>
        <v>800</v>
      </c>
      <c r="N140" s="13">
        <f>((1950+1441-178+1017+0)/G$3)*G140</f>
        <v>4230</v>
      </c>
      <c r="P140" s="13">
        <f t="shared" si="42"/>
        <v>10280</v>
      </c>
      <c r="Q140" s="12">
        <f t="shared" si="43"/>
        <v>600</v>
      </c>
      <c r="R140" s="12">
        <f t="shared" si="36"/>
        <v>180</v>
      </c>
      <c r="S140" s="21">
        <v>0</v>
      </c>
      <c r="T140" s="28">
        <v>0</v>
      </c>
      <c r="U140" s="13">
        <f t="shared" si="34"/>
        <v>780</v>
      </c>
      <c r="V140" s="13">
        <f t="shared" si="37"/>
        <v>9500</v>
      </c>
      <c r="W140" s="11">
        <v>9500</v>
      </c>
      <c r="X140" s="16">
        <f t="shared" si="41"/>
        <v>0</v>
      </c>
    </row>
    <row r="141" spans="1:24" x14ac:dyDescent="0.2">
      <c r="A141" s="10" t="s">
        <v>630</v>
      </c>
      <c r="B141" s="11">
        <f t="shared" si="45"/>
        <v>132</v>
      </c>
      <c r="C141" s="11" t="s">
        <v>395</v>
      </c>
      <c r="D141" s="19" t="s">
        <v>50</v>
      </c>
      <c r="E141" s="19" t="s">
        <v>234</v>
      </c>
      <c r="F141" s="20">
        <v>42856</v>
      </c>
      <c r="G141" s="25">
        <v>30</v>
      </c>
      <c r="H141" s="13">
        <f t="shared" si="35"/>
        <v>5000</v>
      </c>
      <c r="I141" s="13">
        <f t="shared" si="38"/>
        <v>0</v>
      </c>
      <c r="J141" s="13">
        <f t="shared" si="44"/>
        <v>250</v>
      </c>
      <c r="L141" s="13">
        <f t="shared" si="46"/>
        <v>800</v>
      </c>
      <c r="N141" s="13">
        <f>((1950+1441-178+1017+1018+0)/G$3)*G141</f>
        <v>5248</v>
      </c>
      <c r="P141" s="13">
        <f t="shared" si="42"/>
        <v>11298</v>
      </c>
      <c r="Q141" s="12">
        <f t="shared" si="43"/>
        <v>600</v>
      </c>
      <c r="R141" s="12">
        <f t="shared" si="36"/>
        <v>198</v>
      </c>
      <c r="S141" s="21">
        <v>0</v>
      </c>
      <c r="T141" s="28">
        <v>0</v>
      </c>
      <c r="U141" s="13">
        <f t="shared" si="34"/>
        <v>798</v>
      </c>
      <c r="V141" s="13">
        <f t="shared" si="37"/>
        <v>10500</v>
      </c>
      <c r="W141" s="11">
        <v>10500</v>
      </c>
      <c r="X141" s="16">
        <f t="shared" si="41"/>
        <v>0</v>
      </c>
    </row>
    <row r="142" spans="1:24" x14ac:dyDescent="0.2">
      <c r="A142" s="10" t="s">
        <v>631</v>
      </c>
      <c r="B142" s="11">
        <f t="shared" si="45"/>
        <v>133</v>
      </c>
      <c r="C142" s="11" t="s">
        <v>396</v>
      </c>
      <c r="D142" s="19" t="s">
        <v>50</v>
      </c>
      <c r="E142" s="19" t="s">
        <v>484</v>
      </c>
      <c r="F142" s="20">
        <v>42856</v>
      </c>
      <c r="G142" s="25">
        <v>30</v>
      </c>
      <c r="H142" s="13">
        <f t="shared" si="35"/>
        <v>5000</v>
      </c>
      <c r="I142" s="13">
        <f t="shared" si="38"/>
        <v>0</v>
      </c>
      <c r="J142" s="13">
        <f t="shared" si="44"/>
        <v>250</v>
      </c>
      <c r="L142" s="13">
        <f t="shared" si="46"/>
        <v>800</v>
      </c>
      <c r="N142" s="13">
        <f>((1950+1441-178+1017+0)/G$3)*G142</f>
        <v>4230</v>
      </c>
      <c r="P142" s="13">
        <f t="shared" si="42"/>
        <v>10280</v>
      </c>
      <c r="Q142" s="12">
        <f t="shared" si="43"/>
        <v>600</v>
      </c>
      <c r="R142" s="12">
        <f t="shared" si="36"/>
        <v>180</v>
      </c>
      <c r="S142" s="21">
        <v>0</v>
      </c>
      <c r="T142" s="28">
        <v>0</v>
      </c>
      <c r="U142" s="13">
        <f t="shared" si="34"/>
        <v>780</v>
      </c>
      <c r="V142" s="13">
        <f t="shared" si="37"/>
        <v>9500</v>
      </c>
      <c r="W142" s="11">
        <v>9500</v>
      </c>
      <c r="X142" s="16">
        <f t="shared" si="41"/>
        <v>0</v>
      </c>
    </row>
    <row r="143" spans="1:24" x14ac:dyDescent="0.2">
      <c r="A143" s="10" t="s">
        <v>632</v>
      </c>
      <c r="B143" s="11">
        <f t="shared" si="45"/>
        <v>134</v>
      </c>
      <c r="C143" s="11" t="s">
        <v>397</v>
      </c>
      <c r="D143" s="19" t="s">
        <v>50</v>
      </c>
      <c r="E143" s="19" t="s">
        <v>234</v>
      </c>
      <c r="F143" s="20">
        <v>42856</v>
      </c>
      <c r="G143" s="25">
        <v>30</v>
      </c>
      <c r="H143" s="13">
        <f t="shared" si="35"/>
        <v>5000</v>
      </c>
      <c r="I143" s="13">
        <f t="shared" si="38"/>
        <v>0</v>
      </c>
      <c r="J143" s="13">
        <f t="shared" si="44"/>
        <v>250</v>
      </c>
      <c r="L143" s="13">
        <f t="shared" si="46"/>
        <v>800</v>
      </c>
      <c r="N143" s="13">
        <f>((1950+1441-178+1017+1018+0)/G$3)*G143</f>
        <v>5248</v>
      </c>
      <c r="P143" s="13">
        <f t="shared" si="42"/>
        <v>11298</v>
      </c>
      <c r="Q143" s="12">
        <f t="shared" si="43"/>
        <v>600</v>
      </c>
      <c r="R143" s="12">
        <f t="shared" si="36"/>
        <v>198</v>
      </c>
      <c r="S143" s="21">
        <v>0</v>
      </c>
      <c r="T143" s="28">
        <v>0</v>
      </c>
      <c r="U143" s="13">
        <f t="shared" si="34"/>
        <v>798</v>
      </c>
      <c r="V143" s="13">
        <f t="shared" si="37"/>
        <v>10500</v>
      </c>
      <c r="W143" s="11">
        <v>10500</v>
      </c>
      <c r="X143" s="16">
        <f t="shared" si="41"/>
        <v>0</v>
      </c>
    </row>
    <row r="144" spans="1:24" x14ac:dyDescent="0.2">
      <c r="A144" s="10" t="s">
        <v>633</v>
      </c>
      <c r="B144" s="11">
        <f t="shared" si="45"/>
        <v>135</v>
      </c>
      <c r="C144" s="11" t="s">
        <v>398</v>
      </c>
      <c r="D144" s="19" t="s">
        <v>50</v>
      </c>
      <c r="E144" s="19" t="s">
        <v>484</v>
      </c>
      <c r="F144" s="20">
        <v>42856</v>
      </c>
      <c r="G144" s="25">
        <v>30</v>
      </c>
      <c r="H144" s="13">
        <f t="shared" si="35"/>
        <v>5000</v>
      </c>
      <c r="I144" s="13">
        <f t="shared" si="38"/>
        <v>0</v>
      </c>
      <c r="J144" s="13">
        <f t="shared" si="44"/>
        <v>250</v>
      </c>
      <c r="L144" s="13">
        <f t="shared" si="46"/>
        <v>800</v>
      </c>
      <c r="N144" s="13">
        <f>((1950+1441-178+1017+0)/G$3)*G144</f>
        <v>4230</v>
      </c>
      <c r="P144" s="13">
        <f t="shared" si="42"/>
        <v>10280</v>
      </c>
      <c r="Q144" s="12">
        <f t="shared" si="43"/>
        <v>600</v>
      </c>
      <c r="R144" s="12">
        <f t="shared" si="36"/>
        <v>180</v>
      </c>
      <c r="S144" s="21">
        <v>0</v>
      </c>
      <c r="T144" s="28">
        <v>0</v>
      </c>
      <c r="U144" s="13">
        <f t="shared" si="34"/>
        <v>780</v>
      </c>
      <c r="V144" s="13">
        <f t="shared" si="37"/>
        <v>9500</v>
      </c>
      <c r="W144" s="11">
        <v>9500</v>
      </c>
      <c r="X144" s="16">
        <f t="shared" si="41"/>
        <v>0</v>
      </c>
    </row>
    <row r="145" spans="1:24" x14ac:dyDescent="0.2">
      <c r="A145" s="10" t="s">
        <v>634</v>
      </c>
      <c r="B145" s="11">
        <f t="shared" si="45"/>
        <v>136</v>
      </c>
      <c r="C145" s="11" t="s">
        <v>399</v>
      </c>
      <c r="D145" s="19" t="s">
        <v>50</v>
      </c>
      <c r="E145" s="19" t="s">
        <v>484</v>
      </c>
      <c r="F145" s="20">
        <v>42856</v>
      </c>
      <c r="G145" s="25">
        <v>30</v>
      </c>
      <c r="H145" s="13">
        <f t="shared" si="35"/>
        <v>5000</v>
      </c>
      <c r="I145" s="13">
        <f t="shared" si="38"/>
        <v>0</v>
      </c>
      <c r="J145" s="13">
        <f t="shared" si="44"/>
        <v>250</v>
      </c>
      <c r="L145" s="13">
        <f t="shared" si="46"/>
        <v>800</v>
      </c>
      <c r="N145" s="13">
        <f>((1950+1441-178+1017+0)/G$3)*G145</f>
        <v>4230</v>
      </c>
      <c r="P145" s="13">
        <f t="shared" si="42"/>
        <v>10280</v>
      </c>
      <c r="Q145" s="12">
        <f t="shared" si="43"/>
        <v>600</v>
      </c>
      <c r="R145" s="12">
        <f t="shared" si="36"/>
        <v>180</v>
      </c>
      <c r="S145" s="21">
        <v>0</v>
      </c>
      <c r="T145" s="28">
        <v>0</v>
      </c>
      <c r="U145" s="13">
        <f t="shared" si="34"/>
        <v>780</v>
      </c>
      <c r="V145" s="13">
        <f t="shared" si="37"/>
        <v>9500</v>
      </c>
      <c r="W145" s="11">
        <v>9500</v>
      </c>
      <c r="X145" s="16">
        <f t="shared" si="41"/>
        <v>0</v>
      </c>
    </row>
    <row r="146" spans="1:24" x14ac:dyDescent="0.2">
      <c r="A146" s="10" t="s">
        <v>635</v>
      </c>
      <c r="B146" s="11">
        <f t="shared" si="45"/>
        <v>137</v>
      </c>
      <c r="C146" s="11" t="s">
        <v>400</v>
      </c>
      <c r="D146" s="19" t="s">
        <v>50</v>
      </c>
      <c r="E146" s="19" t="s">
        <v>484</v>
      </c>
      <c r="F146" s="20">
        <v>42856</v>
      </c>
      <c r="G146" s="25">
        <v>30</v>
      </c>
      <c r="H146" s="13">
        <f t="shared" si="35"/>
        <v>5000</v>
      </c>
      <c r="I146" s="13">
        <f t="shared" si="38"/>
        <v>0</v>
      </c>
      <c r="J146" s="13">
        <f t="shared" si="44"/>
        <v>250</v>
      </c>
      <c r="L146" s="13">
        <f t="shared" si="46"/>
        <v>800</v>
      </c>
      <c r="N146" s="13">
        <f>((1950+1441-178+1017+0)/G$3)*G146</f>
        <v>4230</v>
      </c>
      <c r="P146" s="13">
        <f t="shared" si="42"/>
        <v>10280</v>
      </c>
      <c r="Q146" s="12">
        <f t="shared" si="43"/>
        <v>600</v>
      </c>
      <c r="R146" s="12">
        <f t="shared" si="36"/>
        <v>180</v>
      </c>
      <c r="S146" s="21">
        <v>0</v>
      </c>
      <c r="T146" s="28">
        <v>0</v>
      </c>
      <c r="U146" s="13">
        <f t="shared" si="34"/>
        <v>780</v>
      </c>
      <c r="V146" s="13">
        <f t="shared" si="37"/>
        <v>9500</v>
      </c>
      <c r="W146" s="11">
        <v>9500</v>
      </c>
      <c r="X146" s="16">
        <f t="shared" si="41"/>
        <v>0</v>
      </c>
    </row>
    <row r="147" spans="1:24" x14ac:dyDescent="0.2">
      <c r="A147" s="10" t="s">
        <v>636</v>
      </c>
      <c r="B147" s="11">
        <f t="shared" si="45"/>
        <v>138</v>
      </c>
      <c r="C147" s="11" t="s">
        <v>401</v>
      </c>
      <c r="D147" s="19" t="s">
        <v>50</v>
      </c>
      <c r="E147" s="19" t="s">
        <v>234</v>
      </c>
      <c r="F147" s="20">
        <v>42856</v>
      </c>
      <c r="G147" s="25">
        <v>30</v>
      </c>
      <c r="H147" s="13">
        <f t="shared" si="35"/>
        <v>5000</v>
      </c>
      <c r="I147" s="13">
        <f t="shared" si="38"/>
        <v>0</v>
      </c>
      <c r="J147" s="13">
        <f t="shared" si="44"/>
        <v>250</v>
      </c>
      <c r="L147" s="13">
        <f t="shared" si="46"/>
        <v>800</v>
      </c>
      <c r="N147" s="13">
        <f>((1950+1441-178+1017+1018+0)/G$3)*G147</f>
        <v>5248</v>
      </c>
      <c r="P147" s="13">
        <f t="shared" si="42"/>
        <v>11298</v>
      </c>
      <c r="Q147" s="12">
        <f t="shared" si="43"/>
        <v>600</v>
      </c>
      <c r="R147" s="12">
        <f t="shared" si="36"/>
        <v>198</v>
      </c>
      <c r="S147" s="21">
        <v>0</v>
      </c>
      <c r="T147" s="28">
        <v>0</v>
      </c>
      <c r="U147" s="13">
        <f t="shared" si="34"/>
        <v>798</v>
      </c>
      <c r="V147" s="13">
        <f t="shared" si="37"/>
        <v>10500</v>
      </c>
      <c r="W147" s="11">
        <v>10500</v>
      </c>
      <c r="X147" s="16">
        <f t="shared" si="41"/>
        <v>0</v>
      </c>
    </row>
    <row r="148" spans="1:24" x14ac:dyDescent="0.2">
      <c r="A148" s="10" t="s">
        <v>637</v>
      </c>
      <c r="B148" s="11">
        <f t="shared" si="45"/>
        <v>139</v>
      </c>
      <c r="C148" s="11" t="s">
        <v>402</v>
      </c>
      <c r="D148" s="19" t="s">
        <v>50</v>
      </c>
      <c r="E148" s="19" t="s">
        <v>234</v>
      </c>
      <c r="F148" s="20">
        <v>42856</v>
      </c>
      <c r="G148" s="25">
        <v>30</v>
      </c>
      <c r="H148" s="13">
        <f t="shared" si="35"/>
        <v>5000</v>
      </c>
      <c r="I148" s="13">
        <f t="shared" si="38"/>
        <v>0</v>
      </c>
      <c r="J148" s="13">
        <f t="shared" si="44"/>
        <v>250</v>
      </c>
      <c r="L148" s="13">
        <f t="shared" si="46"/>
        <v>800</v>
      </c>
      <c r="N148" s="13">
        <f>((1950+1441-178+1017+1018+0)/G$3)*G148</f>
        <v>5248</v>
      </c>
      <c r="P148" s="13">
        <f t="shared" si="42"/>
        <v>11298</v>
      </c>
      <c r="Q148" s="12">
        <f t="shared" si="43"/>
        <v>600</v>
      </c>
      <c r="R148" s="12">
        <f t="shared" si="36"/>
        <v>198</v>
      </c>
      <c r="S148" s="21">
        <v>0</v>
      </c>
      <c r="T148" s="28">
        <v>0</v>
      </c>
      <c r="U148" s="13">
        <f t="shared" si="34"/>
        <v>798</v>
      </c>
      <c r="V148" s="13">
        <f t="shared" si="37"/>
        <v>10500</v>
      </c>
      <c r="W148" s="11">
        <v>10500</v>
      </c>
      <c r="X148" s="16">
        <f t="shared" si="41"/>
        <v>0</v>
      </c>
    </row>
    <row r="149" spans="1:24" x14ac:dyDescent="0.2">
      <c r="A149" s="10" t="s">
        <v>638</v>
      </c>
      <c r="B149" s="11">
        <f t="shared" si="45"/>
        <v>140</v>
      </c>
      <c r="C149" s="11" t="s">
        <v>403</v>
      </c>
      <c r="D149" s="19" t="s">
        <v>50</v>
      </c>
      <c r="E149" s="19" t="s">
        <v>484</v>
      </c>
      <c r="F149" s="20">
        <v>42856</v>
      </c>
      <c r="G149" s="25">
        <v>30</v>
      </c>
      <c r="H149" s="13">
        <f t="shared" si="35"/>
        <v>5000</v>
      </c>
      <c r="I149" s="13">
        <f t="shared" si="38"/>
        <v>0</v>
      </c>
      <c r="J149" s="13">
        <f t="shared" si="44"/>
        <v>250</v>
      </c>
      <c r="L149" s="13">
        <f t="shared" si="46"/>
        <v>800</v>
      </c>
      <c r="N149" s="13">
        <f>((1950+1441-178+1017+0)/G$3)*G149</f>
        <v>4230</v>
      </c>
      <c r="P149" s="13">
        <f t="shared" si="42"/>
        <v>10280</v>
      </c>
      <c r="Q149" s="12">
        <f t="shared" si="43"/>
        <v>600</v>
      </c>
      <c r="R149" s="12">
        <f t="shared" si="36"/>
        <v>180</v>
      </c>
      <c r="S149" s="21">
        <v>0</v>
      </c>
      <c r="T149" s="28">
        <v>0</v>
      </c>
      <c r="U149" s="13">
        <f t="shared" si="34"/>
        <v>780</v>
      </c>
      <c r="V149" s="13">
        <f t="shared" si="37"/>
        <v>9500</v>
      </c>
      <c r="W149" s="11">
        <v>9500</v>
      </c>
      <c r="X149" s="16">
        <f t="shared" si="41"/>
        <v>0</v>
      </c>
    </row>
    <row r="150" spans="1:24" x14ac:dyDescent="0.2">
      <c r="A150" s="10" t="s">
        <v>639</v>
      </c>
      <c r="B150" s="11">
        <f t="shared" si="45"/>
        <v>141</v>
      </c>
      <c r="C150" s="11" t="s">
        <v>404</v>
      </c>
      <c r="D150" s="19" t="s">
        <v>50</v>
      </c>
      <c r="E150" s="19" t="s">
        <v>234</v>
      </c>
      <c r="F150" s="20">
        <v>42856</v>
      </c>
      <c r="G150" s="25">
        <v>30</v>
      </c>
      <c r="H150" s="13">
        <f t="shared" si="35"/>
        <v>5000</v>
      </c>
      <c r="I150" s="13">
        <f t="shared" si="38"/>
        <v>0</v>
      </c>
      <c r="J150" s="13">
        <f t="shared" si="44"/>
        <v>250</v>
      </c>
      <c r="L150" s="13">
        <f t="shared" si="46"/>
        <v>800</v>
      </c>
      <c r="N150" s="13">
        <f>((1950+1441-178+1017+1018+0)/G$3)*G150</f>
        <v>5248</v>
      </c>
      <c r="P150" s="13">
        <f t="shared" si="42"/>
        <v>11298</v>
      </c>
      <c r="Q150" s="12">
        <f t="shared" si="43"/>
        <v>600</v>
      </c>
      <c r="R150" s="12">
        <f t="shared" si="36"/>
        <v>198</v>
      </c>
      <c r="S150" s="21">
        <v>0</v>
      </c>
      <c r="T150" s="28">
        <v>0</v>
      </c>
      <c r="U150" s="13">
        <f t="shared" si="34"/>
        <v>798</v>
      </c>
      <c r="V150" s="13">
        <f t="shared" si="37"/>
        <v>10500</v>
      </c>
      <c r="W150" s="11">
        <v>10500</v>
      </c>
      <c r="X150" s="16">
        <f t="shared" si="41"/>
        <v>0</v>
      </c>
    </row>
    <row r="151" spans="1:24" x14ac:dyDescent="0.2">
      <c r="A151" s="10" t="s">
        <v>640</v>
      </c>
      <c r="B151" s="11">
        <f t="shared" si="45"/>
        <v>142</v>
      </c>
      <c r="C151" s="11" t="s">
        <v>405</v>
      </c>
      <c r="D151" s="19" t="s">
        <v>50</v>
      </c>
      <c r="E151" s="11" t="s">
        <v>234</v>
      </c>
      <c r="F151" s="20">
        <v>42856</v>
      </c>
      <c r="G151" s="25">
        <v>30</v>
      </c>
      <c r="H151" s="13">
        <f t="shared" si="35"/>
        <v>5000</v>
      </c>
      <c r="I151" s="13">
        <f t="shared" si="38"/>
        <v>0</v>
      </c>
      <c r="J151" s="13">
        <f t="shared" si="44"/>
        <v>250</v>
      </c>
      <c r="L151" s="13">
        <f t="shared" si="46"/>
        <v>800</v>
      </c>
      <c r="N151" s="13">
        <f>((1950+1441-178+1017+1018+0)/G$3)*G151</f>
        <v>5248</v>
      </c>
      <c r="P151" s="13">
        <f t="shared" si="42"/>
        <v>11298</v>
      </c>
      <c r="Q151" s="12">
        <f t="shared" si="43"/>
        <v>600</v>
      </c>
      <c r="R151" s="12">
        <f t="shared" si="36"/>
        <v>198</v>
      </c>
      <c r="S151" s="21">
        <v>0</v>
      </c>
      <c r="T151" s="28">
        <v>0</v>
      </c>
      <c r="U151" s="13">
        <f t="shared" ref="U151:U214" si="47">SUM(Q151:T151)</f>
        <v>798</v>
      </c>
      <c r="V151" s="13">
        <f t="shared" si="37"/>
        <v>10500</v>
      </c>
      <c r="W151" s="11">
        <v>10500</v>
      </c>
      <c r="X151" s="16">
        <f t="shared" si="41"/>
        <v>0</v>
      </c>
    </row>
    <row r="152" spans="1:24" x14ac:dyDescent="0.2">
      <c r="A152" s="10" t="s">
        <v>641</v>
      </c>
      <c r="B152" s="11">
        <f t="shared" si="45"/>
        <v>143</v>
      </c>
      <c r="C152" s="11" t="s">
        <v>406</v>
      </c>
      <c r="D152" s="19" t="s">
        <v>50</v>
      </c>
      <c r="E152" s="11" t="s">
        <v>234</v>
      </c>
      <c r="F152" s="20">
        <v>42856</v>
      </c>
      <c r="G152" s="25">
        <v>30</v>
      </c>
      <c r="H152" s="13">
        <f t="shared" si="35"/>
        <v>5000</v>
      </c>
      <c r="I152" s="13">
        <f t="shared" si="38"/>
        <v>0</v>
      </c>
      <c r="J152" s="13">
        <f t="shared" si="44"/>
        <v>250</v>
      </c>
      <c r="L152" s="13">
        <f t="shared" si="46"/>
        <v>800</v>
      </c>
      <c r="N152" s="13">
        <f>((1950+1441-178+1017+1018+0)/G$3)*G152</f>
        <v>5248</v>
      </c>
      <c r="P152" s="13">
        <f t="shared" si="42"/>
        <v>11298</v>
      </c>
      <c r="Q152" s="12">
        <f t="shared" si="43"/>
        <v>600</v>
      </c>
      <c r="R152" s="12">
        <f t="shared" si="36"/>
        <v>198</v>
      </c>
      <c r="S152" s="21">
        <v>0</v>
      </c>
      <c r="T152" s="28">
        <v>0</v>
      </c>
      <c r="U152" s="13">
        <f t="shared" si="47"/>
        <v>798</v>
      </c>
      <c r="V152" s="13">
        <f t="shared" si="37"/>
        <v>10500</v>
      </c>
      <c r="W152" s="11">
        <v>10500</v>
      </c>
      <c r="X152" s="16">
        <f t="shared" si="41"/>
        <v>0</v>
      </c>
    </row>
    <row r="153" spans="1:24" x14ac:dyDescent="0.2">
      <c r="A153" s="10" t="s">
        <v>642</v>
      </c>
      <c r="B153" s="11">
        <f t="shared" si="45"/>
        <v>144</v>
      </c>
      <c r="C153" s="11" t="s">
        <v>407</v>
      </c>
      <c r="D153" s="19" t="s">
        <v>50</v>
      </c>
      <c r="E153" s="19" t="s">
        <v>484</v>
      </c>
      <c r="F153" s="20">
        <v>42856</v>
      </c>
      <c r="G153" s="25">
        <v>30</v>
      </c>
      <c r="H153" s="13">
        <f t="shared" si="35"/>
        <v>5000</v>
      </c>
      <c r="I153" s="13">
        <f t="shared" si="38"/>
        <v>0</v>
      </c>
      <c r="J153" s="13">
        <f t="shared" si="44"/>
        <v>250</v>
      </c>
      <c r="L153" s="13">
        <f t="shared" si="46"/>
        <v>800</v>
      </c>
      <c r="N153" s="13">
        <f>((1950+1441+839+0)/G$3)*G153</f>
        <v>4230</v>
      </c>
      <c r="P153" s="13">
        <f t="shared" si="42"/>
        <v>10280</v>
      </c>
      <c r="Q153" s="12">
        <f t="shared" si="43"/>
        <v>600</v>
      </c>
      <c r="R153" s="12">
        <f t="shared" si="36"/>
        <v>180</v>
      </c>
      <c r="S153" s="21">
        <v>0</v>
      </c>
      <c r="T153" s="28">
        <v>0</v>
      </c>
      <c r="U153" s="13">
        <f t="shared" si="47"/>
        <v>780</v>
      </c>
      <c r="V153" s="13">
        <f t="shared" si="37"/>
        <v>9500</v>
      </c>
      <c r="W153" s="11">
        <v>9500</v>
      </c>
      <c r="X153" s="16">
        <f t="shared" si="41"/>
        <v>0</v>
      </c>
    </row>
    <row r="154" spans="1:24" x14ac:dyDescent="0.2">
      <c r="A154" s="10" t="s">
        <v>643</v>
      </c>
      <c r="B154" s="11">
        <f t="shared" si="45"/>
        <v>145</v>
      </c>
      <c r="C154" s="11" t="s">
        <v>408</v>
      </c>
      <c r="D154" s="19" t="s">
        <v>50</v>
      </c>
      <c r="E154" s="11" t="s">
        <v>234</v>
      </c>
      <c r="F154" s="20">
        <v>42856</v>
      </c>
      <c r="G154" s="25">
        <v>30</v>
      </c>
      <c r="H154" s="13">
        <f t="shared" si="35"/>
        <v>5000</v>
      </c>
      <c r="I154" s="13">
        <f t="shared" si="38"/>
        <v>0</v>
      </c>
      <c r="J154" s="13">
        <f t="shared" si="44"/>
        <v>250</v>
      </c>
      <c r="L154" s="13">
        <f t="shared" si="46"/>
        <v>800</v>
      </c>
      <c r="N154" s="13">
        <f>((1950+1441-178+1017+1018+0)/G$3)*G154</f>
        <v>5248</v>
      </c>
      <c r="P154" s="13">
        <f t="shared" si="42"/>
        <v>11298</v>
      </c>
      <c r="Q154" s="12">
        <f t="shared" si="43"/>
        <v>600</v>
      </c>
      <c r="R154" s="12">
        <f t="shared" si="36"/>
        <v>198</v>
      </c>
      <c r="S154" s="21">
        <v>0</v>
      </c>
      <c r="T154" s="28">
        <v>0</v>
      </c>
      <c r="U154" s="13">
        <f t="shared" si="47"/>
        <v>798</v>
      </c>
      <c r="V154" s="13">
        <f t="shared" si="37"/>
        <v>10500</v>
      </c>
      <c r="W154" s="11">
        <v>10500</v>
      </c>
      <c r="X154" s="16">
        <f t="shared" si="41"/>
        <v>0</v>
      </c>
    </row>
    <row r="155" spans="1:24" x14ac:dyDescent="0.2">
      <c r="A155" s="10" t="s">
        <v>644</v>
      </c>
      <c r="B155" s="11">
        <f t="shared" si="45"/>
        <v>146</v>
      </c>
      <c r="C155" s="11" t="s">
        <v>409</v>
      </c>
      <c r="D155" s="19" t="s">
        <v>50</v>
      </c>
      <c r="E155" s="11" t="s">
        <v>234</v>
      </c>
      <c r="F155" s="20">
        <v>42856</v>
      </c>
      <c r="G155" s="25">
        <v>30</v>
      </c>
      <c r="H155" s="13">
        <f t="shared" si="35"/>
        <v>5000</v>
      </c>
      <c r="I155" s="13">
        <f t="shared" si="38"/>
        <v>0</v>
      </c>
      <c r="J155" s="13">
        <f t="shared" si="44"/>
        <v>250</v>
      </c>
      <c r="L155" s="13">
        <f t="shared" si="46"/>
        <v>800</v>
      </c>
      <c r="N155" s="13">
        <f>((1950+1441-178+1017+1018+0)/G$3)*G155</f>
        <v>5248</v>
      </c>
      <c r="P155" s="13">
        <f t="shared" si="42"/>
        <v>11298</v>
      </c>
      <c r="Q155" s="12">
        <f t="shared" si="43"/>
        <v>600</v>
      </c>
      <c r="R155" s="12">
        <f t="shared" si="36"/>
        <v>198</v>
      </c>
      <c r="S155" s="21">
        <v>0</v>
      </c>
      <c r="T155" s="28">
        <v>0</v>
      </c>
      <c r="U155" s="13">
        <f t="shared" si="47"/>
        <v>798</v>
      </c>
      <c r="V155" s="13">
        <f t="shared" si="37"/>
        <v>10500</v>
      </c>
      <c r="W155" s="11">
        <v>10500</v>
      </c>
      <c r="X155" s="16">
        <f t="shared" si="41"/>
        <v>0</v>
      </c>
    </row>
    <row r="156" spans="1:24" x14ac:dyDescent="0.2">
      <c r="A156" s="10" t="s">
        <v>315</v>
      </c>
      <c r="B156" s="11">
        <f t="shared" si="45"/>
        <v>147</v>
      </c>
      <c r="C156" s="11" t="s">
        <v>493</v>
      </c>
      <c r="D156" s="19" t="s">
        <v>50</v>
      </c>
      <c r="E156" s="11" t="s">
        <v>581</v>
      </c>
      <c r="F156" s="20">
        <v>42886</v>
      </c>
      <c r="G156" s="25">
        <v>30</v>
      </c>
      <c r="H156" s="13">
        <f t="shared" si="35"/>
        <v>5000</v>
      </c>
      <c r="I156" s="13">
        <f t="shared" si="38"/>
        <v>0</v>
      </c>
      <c r="J156" s="13">
        <f t="shared" si="44"/>
        <v>250</v>
      </c>
      <c r="L156" s="13">
        <f t="shared" si="46"/>
        <v>800</v>
      </c>
      <c r="N156" s="13">
        <f>((1950+1441-178+1017+1018+509+0)/G$3)*G156</f>
        <v>5757</v>
      </c>
      <c r="P156" s="13">
        <f t="shared" si="42"/>
        <v>11807</v>
      </c>
      <c r="Q156" s="12">
        <f t="shared" si="43"/>
        <v>600</v>
      </c>
      <c r="R156" s="12">
        <f t="shared" si="36"/>
        <v>207</v>
      </c>
      <c r="S156" s="21">
        <v>0</v>
      </c>
      <c r="T156" s="28">
        <v>0</v>
      </c>
      <c r="U156" s="13">
        <f t="shared" si="47"/>
        <v>807</v>
      </c>
      <c r="V156" s="13">
        <f t="shared" si="37"/>
        <v>11000</v>
      </c>
      <c r="W156" s="11">
        <v>11000</v>
      </c>
      <c r="X156" s="16">
        <f t="shared" si="41"/>
        <v>0</v>
      </c>
    </row>
    <row r="157" spans="1:24" x14ac:dyDescent="0.2">
      <c r="A157" s="10" t="s">
        <v>315</v>
      </c>
      <c r="B157" s="11">
        <f t="shared" si="45"/>
        <v>148</v>
      </c>
      <c r="C157" s="11" t="s">
        <v>84</v>
      </c>
      <c r="D157" s="19" t="s">
        <v>50</v>
      </c>
      <c r="E157" s="11" t="s">
        <v>581</v>
      </c>
      <c r="F157" s="20">
        <v>42885</v>
      </c>
      <c r="G157" s="25">
        <v>30</v>
      </c>
      <c r="H157" s="13">
        <f t="shared" si="35"/>
        <v>5000</v>
      </c>
      <c r="I157" s="13">
        <f t="shared" si="38"/>
        <v>0</v>
      </c>
      <c r="J157" s="13">
        <f t="shared" si="44"/>
        <v>250</v>
      </c>
      <c r="L157" s="13">
        <f t="shared" si="46"/>
        <v>800</v>
      </c>
      <c r="N157" s="13">
        <f>((1950+1441-178+1017+0)/G$3)*G157</f>
        <v>4230</v>
      </c>
      <c r="P157" s="13">
        <f t="shared" si="42"/>
        <v>10280</v>
      </c>
      <c r="Q157" s="12">
        <f t="shared" si="43"/>
        <v>600</v>
      </c>
      <c r="R157" s="12">
        <f t="shared" si="36"/>
        <v>180</v>
      </c>
      <c r="S157" s="21">
        <v>0</v>
      </c>
      <c r="T157" s="28">
        <v>0</v>
      </c>
      <c r="U157" s="13">
        <f t="shared" si="47"/>
        <v>780</v>
      </c>
      <c r="V157" s="13">
        <f t="shared" si="37"/>
        <v>9500</v>
      </c>
      <c r="W157" s="11">
        <v>9500</v>
      </c>
      <c r="X157" s="16">
        <f t="shared" si="41"/>
        <v>0</v>
      </c>
    </row>
    <row r="158" spans="1:24" x14ac:dyDescent="0.2">
      <c r="A158" s="10" t="s">
        <v>315</v>
      </c>
      <c r="B158" s="11">
        <f t="shared" si="45"/>
        <v>149</v>
      </c>
      <c r="C158" s="11" t="s">
        <v>494</v>
      </c>
      <c r="D158" s="19" t="s">
        <v>50</v>
      </c>
      <c r="E158" s="11" t="s">
        <v>581</v>
      </c>
      <c r="F158" s="20">
        <v>42891</v>
      </c>
      <c r="G158" s="25">
        <v>30</v>
      </c>
      <c r="H158" s="13">
        <f t="shared" si="35"/>
        <v>5000</v>
      </c>
      <c r="I158" s="13">
        <f t="shared" si="38"/>
        <v>0</v>
      </c>
      <c r="J158" s="13">
        <f t="shared" si="44"/>
        <v>250</v>
      </c>
      <c r="L158" s="13">
        <f t="shared" si="46"/>
        <v>800</v>
      </c>
      <c r="N158" s="13">
        <f>((1950+1441-178+1017+0)/G$3)*G158</f>
        <v>4230</v>
      </c>
      <c r="P158" s="13">
        <f t="shared" si="42"/>
        <v>10280</v>
      </c>
      <c r="Q158" s="12">
        <f t="shared" si="43"/>
        <v>600</v>
      </c>
      <c r="R158" s="12">
        <f t="shared" si="36"/>
        <v>180</v>
      </c>
      <c r="S158" s="21">
        <v>0</v>
      </c>
      <c r="T158" s="28">
        <v>0</v>
      </c>
      <c r="U158" s="13">
        <f t="shared" si="47"/>
        <v>780</v>
      </c>
      <c r="V158" s="13">
        <f t="shared" si="37"/>
        <v>9500</v>
      </c>
      <c r="W158" s="11">
        <v>9500</v>
      </c>
      <c r="X158" s="16">
        <f t="shared" si="41"/>
        <v>0</v>
      </c>
    </row>
    <row r="159" spans="1:24" x14ac:dyDescent="0.2">
      <c r="A159" s="10" t="s">
        <v>315</v>
      </c>
      <c r="B159" s="11">
        <f t="shared" si="45"/>
        <v>150</v>
      </c>
      <c r="C159" s="11" t="s">
        <v>495</v>
      </c>
      <c r="D159" s="19" t="s">
        <v>50</v>
      </c>
      <c r="E159" s="11" t="s">
        <v>581</v>
      </c>
      <c r="F159" s="20">
        <v>42900</v>
      </c>
      <c r="G159" s="25">
        <v>30</v>
      </c>
      <c r="H159" s="13">
        <f t="shared" si="35"/>
        <v>5000</v>
      </c>
      <c r="I159" s="13">
        <f t="shared" si="38"/>
        <v>0</v>
      </c>
      <c r="J159" s="13">
        <f t="shared" si="44"/>
        <v>250</v>
      </c>
      <c r="L159" s="13">
        <f t="shared" si="46"/>
        <v>800</v>
      </c>
      <c r="N159" s="13">
        <f>((1950+1441-178+1017+0)/G$3)*G159</f>
        <v>4230</v>
      </c>
      <c r="P159" s="13">
        <f t="shared" si="42"/>
        <v>10280</v>
      </c>
      <c r="Q159" s="12">
        <f t="shared" si="43"/>
        <v>600</v>
      </c>
      <c r="R159" s="12">
        <f t="shared" si="36"/>
        <v>180</v>
      </c>
      <c r="S159" s="21">
        <v>0</v>
      </c>
      <c r="T159" s="28">
        <v>0</v>
      </c>
      <c r="U159" s="13">
        <f t="shared" si="47"/>
        <v>780</v>
      </c>
      <c r="V159" s="13">
        <f t="shared" si="37"/>
        <v>9500</v>
      </c>
      <c r="W159" s="11">
        <v>9500</v>
      </c>
      <c r="X159" s="16">
        <f t="shared" si="41"/>
        <v>0</v>
      </c>
    </row>
    <row r="160" spans="1:24" x14ac:dyDescent="0.2">
      <c r="A160" s="10" t="s">
        <v>582</v>
      </c>
      <c r="B160" s="11">
        <f t="shared" si="45"/>
        <v>151</v>
      </c>
      <c r="C160" s="11" t="s">
        <v>63</v>
      </c>
      <c r="D160" s="19" t="s">
        <v>50</v>
      </c>
      <c r="E160" s="11" t="s">
        <v>581</v>
      </c>
      <c r="F160" s="20">
        <v>42826</v>
      </c>
      <c r="G160" s="25">
        <v>30</v>
      </c>
      <c r="H160" s="13">
        <f t="shared" ref="H160:H223" si="48">(5000/G$3)*G160</f>
        <v>5000</v>
      </c>
      <c r="I160" s="13">
        <f t="shared" si="38"/>
        <v>0</v>
      </c>
      <c r="J160" s="13">
        <f t="shared" si="44"/>
        <v>250</v>
      </c>
      <c r="L160" s="13">
        <f t="shared" si="46"/>
        <v>800</v>
      </c>
      <c r="N160" s="13">
        <f>((1950+1441-178+1017+0)/G$3)*G160</f>
        <v>4230</v>
      </c>
      <c r="P160" s="13">
        <f t="shared" si="42"/>
        <v>10280</v>
      </c>
      <c r="Q160" s="12">
        <f t="shared" si="43"/>
        <v>600</v>
      </c>
      <c r="R160" s="12">
        <f t="shared" ref="R160:R223" si="49">ROUNDUP((P160*1.75%),0)</f>
        <v>180</v>
      </c>
      <c r="S160" s="21">
        <v>0</v>
      </c>
      <c r="T160" s="28">
        <v>0</v>
      </c>
      <c r="U160" s="13">
        <f t="shared" si="47"/>
        <v>780</v>
      </c>
      <c r="V160" s="13">
        <f t="shared" ref="V160:V223" si="50">P160-U160</f>
        <v>9500</v>
      </c>
      <c r="W160" s="11">
        <v>9500</v>
      </c>
      <c r="X160" s="16">
        <f t="shared" si="41"/>
        <v>0</v>
      </c>
    </row>
    <row r="161" spans="1:24" x14ac:dyDescent="0.2">
      <c r="A161" s="10" t="s">
        <v>315</v>
      </c>
      <c r="B161" s="11">
        <f t="shared" si="45"/>
        <v>152</v>
      </c>
      <c r="C161" s="11" t="s">
        <v>496</v>
      </c>
      <c r="D161" s="19" t="s">
        <v>50</v>
      </c>
      <c r="E161" s="11" t="s">
        <v>581</v>
      </c>
      <c r="F161" s="20">
        <v>42887</v>
      </c>
      <c r="G161" s="25">
        <v>30</v>
      </c>
      <c r="H161" s="13">
        <f t="shared" si="48"/>
        <v>5000</v>
      </c>
      <c r="I161" s="13">
        <f t="shared" ref="I161:I224" si="51">((0)/G$3)*G161</f>
        <v>0</v>
      </c>
      <c r="J161" s="13">
        <f t="shared" si="44"/>
        <v>250</v>
      </c>
      <c r="L161" s="13">
        <f t="shared" si="46"/>
        <v>800</v>
      </c>
      <c r="N161" s="13">
        <f>((1950+1441-178+1017+0)/G$3)*G161</f>
        <v>4230</v>
      </c>
      <c r="P161" s="13">
        <f t="shared" si="42"/>
        <v>10280</v>
      </c>
      <c r="Q161" s="12">
        <f t="shared" si="43"/>
        <v>600</v>
      </c>
      <c r="R161" s="12">
        <f t="shared" si="49"/>
        <v>180</v>
      </c>
      <c r="S161" s="21">
        <v>0</v>
      </c>
      <c r="T161" s="28">
        <v>0</v>
      </c>
      <c r="U161" s="13">
        <f t="shared" si="47"/>
        <v>780</v>
      </c>
      <c r="V161" s="13">
        <f t="shared" si="50"/>
        <v>9500</v>
      </c>
      <c r="W161" s="11">
        <v>9500</v>
      </c>
      <c r="X161" s="16">
        <f t="shared" si="41"/>
        <v>0</v>
      </c>
    </row>
    <row r="162" spans="1:24" x14ac:dyDescent="0.2">
      <c r="A162" s="10" t="s">
        <v>315</v>
      </c>
      <c r="B162" s="11">
        <f t="shared" si="45"/>
        <v>153</v>
      </c>
      <c r="C162" s="11" t="s">
        <v>497</v>
      </c>
      <c r="D162" s="19" t="s">
        <v>50</v>
      </c>
      <c r="E162" s="11" t="s">
        <v>234</v>
      </c>
      <c r="F162" s="20">
        <v>42900</v>
      </c>
      <c r="G162" s="25">
        <v>30</v>
      </c>
      <c r="H162" s="13">
        <f t="shared" si="48"/>
        <v>5000</v>
      </c>
      <c r="I162" s="13">
        <f t="shared" si="51"/>
        <v>0</v>
      </c>
      <c r="J162" s="13">
        <f t="shared" si="44"/>
        <v>250</v>
      </c>
      <c r="L162" s="13">
        <f t="shared" si="46"/>
        <v>800</v>
      </c>
      <c r="N162" s="13">
        <f t="shared" ref="N162:N204" si="52">((1950+1441-178+1017+1018+0)/G$3)*G162</f>
        <v>5248</v>
      </c>
      <c r="P162" s="13">
        <f t="shared" si="42"/>
        <v>11298</v>
      </c>
      <c r="Q162" s="12">
        <f t="shared" si="43"/>
        <v>600</v>
      </c>
      <c r="R162" s="12">
        <f t="shared" si="49"/>
        <v>198</v>
      </c>
      <c r="S162" s="21">
        <v>0</v>
      </c>
      <c r="T162" s="28">
        <v>0</v>
      </c>
      <c r="U162" s="13">
        <f t="shared" si="47"/>
        <v>798</v>
      </c>
      <c r="V162" s="13">
        <f t="shared" si="50"/>
        <v>10500</v>
      </c>
      <c r="W162" s="11">
        <v>10500</v>
      </c>
      <c r="X162" s="16">
        <f t="shared" si="41"/>
        <v>0</v>
      </c>
    </row>
    <row r="163" spans="1:24" x14ac:dyDescent="0.2">
      <c r="A163" s="10" t="s">
        <v>315</v>
      </c>
      <c r="B163" s="11">
        <f t="shared" si="45"/>
        <v>154</v>
      </c>
      <c r="C163" s="11" t="s">
        <v>498</v>
      </c>
      <c r="D163" s="19" t="s">
        <v>50</v>
      </c>
      <c r="E163" s="11" t="s">
        <v>234</v>
      </c>
      <c r="F163" s="20">
        <v>42887</v>
      </c>
      <c r="G163" s="25">
        <v>30</v>
      </c>
      <c r="H163" s="13">
        <f t="shared" si="48"/>
        <v>5000</v>
      </c>
      <c r="I163" s="13">
        <f t="shared" si="51"/>
        <v>0</v>
      </c>
      <c r="J163" s="13">
        <f t="shared" si="44"/>
        <v>250</v>
      </c>
      <c r="L163" s="13">
        <f t="shared" si="46"/>
        <v>800</v>
      </c>
      <c r="N163" s="13">
        <f t="shared" si="52"/>
        <v>5248</v>
      </c>
      <c r="P163" s="13">
        <f t="shared" si="42"/>
        <v>11298</v>
      </c>
      <c r="Q163" s="12">
        <f t="shared" si="43"/>
        <v>600</v>
      </c>
      <c r="R163" s="12">
        <f t="shared" si="49"/>
        <v>198</v>
      </c>
      <c r="S163" s="21">
        <v>0</v>
      </c>
      <c r="T163" s="28">
        <v>0</v>
      </c>
      <c r="U163" s="13">
        <f t="shared" si="47"/>
        <v>798</v>
      </c>
      <c r="V163" s="13">
        <f t="shared" si="50"/>
        <v>10500</v>
      </c>
      <c r="W163" s="11">
        <v>10500</v>
      </c>
      <c r="X163" s="16">
        <f t="shared" si="41"/>
        <v>0</v>
      </c>
    </row>
    <row r="164" spans="1:24" x14ac:dyDescent="0.2">
      <c r="A164" s="10" t="s">
        <v>315</v>
      </c>
      <c r="B164" s="11">
        <f t="shared" si="45"/>
        <v>155</v>
      </c>
      <c r="C164" s="11" t="s">
        <v>499</v>
      </c>
      <c r="D164" s="19" t="s">
        <v>50</v>
      </c>
      <c r="E164" s="11" t="s">
        <v>234</v>
      </c>
      <c r="F164" s="20">
        <v>42911</v>
      </c>
      <c r="G164" s="25">
        <v>30</v>
      </c>
      <c r="H164" s="13">
        <f t="shared" si="48"/>
        <v>5000</v>
      </c>
      <c r="I164" s="13">
        <f t="shared" si="51"/>
        <v>0</v>
      </c>
      <c r="J164" s="13">
        <f t="shared" si="44"/>
        <v>250</v>
      </c>
      <c r="L164" s="13">
        <f t="shared" si="46"/>
        <v>800</v>
      </c>
      <c r="N164" s="13">
        <f t="shared" si="52"/>
        <v>5248</v>
      </c>
      <c r="P164" s="13">
        <f t="shared" si="42"/>
        <v>11298</v>
      </c>
      <c r="Q164" s="12">
        <f t="shared" si="43"/>
        <v>600</v>
      </c>
      <c r="R164" s="12">
        <f t="shared" si="49"/>
        <v>198</v>
      </c>
      <c r="S164" s="21">
        <v>0</v>
      </c>
      <c r="T164" s="28">
        <v>0</v>
      </c>
      <c r="U164" s="13">
        <f t="shared" si="47"/>
        <v>798</v>
      </c>
      <c r="V164" s="13">
        <f t="shared" si="50"/>
        <v>10500</v>
      </c>
      <c r="W164" s="11">
        <v>10500</v>
      </c>
      <c r="X164" s="16">
        <f t="shared" si="41"/>
        <v>0</v>
      </c>
    </row>
    <row r="165" spans="1:24" x14ac:dyDescent="0.2">
      <c r="A165" s="10" t="s">
        <v>315</v>
      </c>
      <c r="B165" s="11">
        <f t="shared" si="45"/>
        <v>156</v>
      </c>
      <c r="C165" s="11" t="s">
        <v>500</v>
      </c>
      <c r="D165" s="19" t="s">
        <v>50</v>
      </c>
      <c r="E165" s="11" t="s">
        <v>234</v>
      </c>
      <c r="F165" s="20">
        <v>42901</v>
      </c>
      <c r="G165" s="25">
        <v>30</v>
      </c>
      <c r="H165" s="13">
        <f t="shared" si="48"/>
        <v>5000</v>
      </c>
      <c r="I165" s="13">
        <f t="shared" si="51"/>
        <v>0</v>
      </c>
      <c r="J165" s="13">
        <f t="shared" si="44"/>
        <v>250</v>
      </c>
      <c r="L165" s="13">
        <f t="shared" si="46"/>
        <v>800</v>
      </c>
      <c r="N165" s="13">
        <f t="shared" si="52"/>
        <v>5248</v>
      </c>
      <c r="P165" s="13">
        <f t="shared" si="42"/>
        <v>11298</v>
      </c>
      <c r="Q165" s="12">
        <f t="shared" si="43"/>
        <v>600</v>
      </c>
      <c r="R165" s="12">
        <f t="shared" si="49"/>
        <v>198</v>
      </c>
      <c r="S165" s="21">
        <v>0</v>
      </c>
      <c r="T165" s="28">
        <v>0</v>
      </c>
      <c r="U165" s="13">
        <f t="shared" si="47"/>
        <v>798</v>
      </c>
      <c r="V165" s="13">
        <f t="shared" si="50"/>
        <v>10500</v>
      </c>
      <c r="W165" s="11">
        <v>10500</v>
      </c>
      <c r="X165" s="16">
        <f t="shared" si="41"/>
        <v>0</v>
      </c>
    </row>
    <row r="166" spans="1:24" x14ac:dyDescent="0.2">
      <c r="A166" s="10" t="s">
        <v>315</v>
      </c>
      <c r="B166" s="11">
        <f t="shared" si="45"/>
        <v>157</v>
      </c>
      <c r="C166" s="11" t="s">
        <v>501</v>
      </c>
      <c r="D166" s="19" t="s">
        <v>50</v>
      </c>
      <c r="E166" s="11" t="s">
        <v>234</v>
      </c>
      <c r="F166" s="20">
        <v>42899</v>
      </c>
      <c r="G166" s="25">
        <v>30</v>
      </c>
      <c r="H166" s="13">
        <f t="shared" si="48"/>
        <v>5000</v>
      </c>
      <c r="I166" s="13">
        <f t="shared" si="51"/>
        <v>0</v>
      </c>
      <c r="J166" s="13">
        <f t="shared" si="44"/>
        <v>250</v>
      </c>
      <c r="L166" s="13">
        <f t="shared" si="46"/>
        <v>800</v>
      </c>
      <c r="N166" s="13">
        <f t="shared" si="52"/>
        <v>5248</v>
      </c>
      <c r="P166" s="13">
        <f t="shared" si="42"/>
        <v>11298</v>
      </c>
      <c r="Q166" s="12">
        <f t="shared" si="43"/>
        <v>600</v>
      </c>
      <c r="R166" s="12">
        <f t="shared" si="49"/>
        <v>198</v>
      </c>
      <c r="S166" s="21">
        <v>0</v>
      </c>
      <c r="T166" s="28">
        <v>0</v>
      </c>
      <c r="U166" s="13">
        <f t="shared" si="47"/>
        <v>798</v>
      </c>
      <c r="V166" s="13">
        <f t="shared" si="50"/>
        <v>10500</v>
      </c>
      <c r="W166" s="11">
        <v>10500</v>
      </c>
      <c r="X166" s="16">
        <f t="shared" si="41"/>
        <v>0</v>
      </c>
    </row>
    <row r="167" spans="1:24" x14ac:dyDescent="0.2">
      <c r="A167" s="10" t="s">
        <v>315</v>
      </c>
      <c r="B167" s="11">
        <f t="shared" si="45"/>
        <v>158</v>
      </c>
      <c r="C167" s="11" t="s">
        <v>502</v>
      </c>
      <c r="D167" s="19" t="s">
        <v>50</v>
      </c>
      <c r="E167" s="11" t="s">
        <v>234</v>
      </c>
      <c r="F167" s="20">
        <v>42899</v>
      </c>
      <c r="G167" s="25">
        <v>30</v>
      </c>
      <c r="H167" s="13">
        <f t="shared" si="48"/>
        <v>5000</v>
      </c>
      <c r="I167" s="13">
        <f t="shared" si="51"/>
        <v>0</v>
      </c>
      <c r="J167" s="13">
        <f t="shared" si="44"/>
        <v>250</v>
      </c>
      <c r="L167" s="13">
        <f t="shared" si="46"/>
        <v>800</v>
      </c>
      <c r="N167" s="13">
        <f t="shared" si="52"/>
        <v>5248</v>
      </c>
      <c r="P167" s="13">
        <f t="shared" si="42"/>
        <v>11298</v>
      </c>
      <c r="Q167" s="12">
        <f t="shared" si="43"/>
        <v>600</v>
      </c>
      <c r="R167" s="12">
        <f t="shared" si="49"/>
        <v>198</v>
      </c>
      <c r="S167" s="21">
        <v>0</v>
      </c>
      <c r="T167" s="28">
        <v>0</v>
      </c>
      <c r="U167" s="13">
        <f t="shared" si="47"/>
        <v>798</v>
      </c>
      <c r="V167" s="13">
        <f t="shared" si="50"/>
        <v>10500</v>
      </c>
      <c r="W167" s="11">
        <v>10500</v>
      </c>
      <c r="X167" s="16">
        <f t="shared" si="41"/>
        <v>0</v>
      </c>
    </row>
    <row r="168" spans="1:24" x14ac:dyDescent="0.2">
      <c r="A168" s="10" t="s">
        <v>315</v>
      </c>
      <c r="B168" s="11">
        <f t="shared" si="45"/>
        <v>159</v>
      </c>
      <c r="C168" s="11" t="s">
        <v>503</v>
      </c>
      <c r="D168" s="19" t="s">
        <v>50</v>
      </c>
      <c r="E168" s="11" t="s">
        <v>234</v>
      </c>
      <c r="F168" s="20">
        <v>42900</v>
      </c>
      <c r="G168" s="25">
        <v>30</v>
      </c>
      <c r="H168" s="13">
        <f t="shared" si="48"/>
        <v>5000</v>
      </c>
      <c r="I168" s="13">
        <f t="shared" si="51"/>
        <v>0</v>
      </c>
      <c r="J168" s="13">
        <f t="shared" si="44"/>
        <v>250</v>
      </c>
      <c r="L168" s="13">
        <f t="shared" si="46"/>
        <v>800</v>
      </c>
      <c r="N168" s="13">
        <f t="shared" si="52"/>
        <v>5248</v>
      </c>
      <c r="P168" s="13">
        <f t="shared" si="42"/>
        <v>11298</v>
      </c>
      <c r="Q168" s="12">
        <f t="shared" si="43"/>
        <v>600</v>
      </c>
      <c r="R168" s="12">
        <f t="shared" si="49"/>
        <v>198</v>
      </c>
      <c r="S168" s="21">
        <v>0</v>
      </c>
      <c r="T168" s="28">
        <v>0</v>
      </c>
      <c r="U168" s="13">
        <f t="shared" si="47"/>
        <v>798</v>
      </c>
      <c r="V168" s="13">
        <f t="shared" si="50"/>
        <v>10500</v>
      </c>
      <c r="W168" s="11">
        <v>10500</v>
      </c>
      <c r="X168" s="16">
        <f t="shared" si="41"/>
        <v>0</v>
      </c>
    </row>
    <row r="169" spans="1:24" x14ac:dyDescent="0.2">
      <c r="A169" s="10" t="s">
        <v>583</v>
      </c>
      <c r="B169" s="11">
        <f t="shared" si="45"/>
        <v>160</v>
      </c>
      <c r="C169" s="11" t="s">
        <v>504</v>
      </c>
      <c r="D169" s="19" t="s">
        <v>50</v>
      </c>
      <c r="E169" s="11" t="s">
        <v>234</v>
      </c>
      <c r="F169" s="20">
        <v>42781</v>
      </c>
      <c r="G169" s="25">
        <v>30</v>
      </c>
      <c r="H169" s="13">
        <f t="shared" si="48"/>
        <v>5000</v>
      </c>
      <c r="I169" s="13">
        <f t="shared" si="51"/>
        <v>0</v>
      </c>
      <c r="J169" s="13">
        <f t="shared" si="44"/>
        <v>250</v>
      </c>
      <c r="L169" s="13">
        <f t="shared" si="46"/>
        <v>800</v>
      </c>
      <c r="N169" s="13">
        <f t="shared" si="52"/>
        <v>5248</v>
      </c>
      <c r="P169" s="13">
        <f t="shared" si="42"/>
        <v>11298</v>
      </c>
      <c r="Q169" s="12">
        <f t="shared" si="43"/>
        <v>600</v>
      </c>
      <c r="R169" s="12">
        <f t="shared" si="49"/>
        <v>198</v>
      </c>
      <c r="S169" s="21">
        <v>0</v>
      </c>
      <c r="T169" s="28">
        <v>0</v>
      </c>
      <c r="U169" s="13">
        <f t="shared" si="47"/>
        <v>798</v>
      </c>
      <c r="V169" s="13">
        <f t="shared" si="50"/>
        <v>10500</v>
      </c>
      <c r="W169" s="11">
        <v>10500</v>
      </c>
      <c r="X169" s="16">
        <f t="shared" si="41"/>
        <v>0</v>
      </c>
    </row>
    <row r="170" spans="1:24" x14ac:dyDescent="0.2">
      <c r="A170" s="10" t="s">
        <v>315</v>
      </c>
      <c r="B170" s="11">
        <f t="shared" si="45"/>
        <v>161</v>
      </c>
      <c r="C170" s="11" t="s">
        <v>505</v>
      </c>
      <c r="D170" s="19" t="s">
        <v>50</v>
      </c>
      <c r="E170" s="11" t="s">
        <v>234</v>
      </c>
      <c r="F170" s="20">
        <v>42887</v>
      </c>
      <c r="G170" s="25">
        <v>30</v>
      </c>
      <c r="H170" s="13">
        <f t="shared" si="48"/>
        <v>5000</v>
      </c>
      <c r="I170" s="13">
        <f t="shared" si="51"/>
        <v>0</v>
      </c>
      <c r="J170" s="13">
        <f t="shared" si="44"/>
        <v>250</v>
      </c>
      <c r="L170" s="13">
        <f t="shared" si="46"/>
        <v>800</v>
      </c>
      <c r="N170" s="13">
        <f t="shared" si="52"/>
        <v>5248</v>
      </c>
      <c r="P170" s="13">
        <f t="shared" si="42"/>
        <v>11298</v>
      </c>
      <c r="Q170" s="12">
        <f t="shared" si="43"/>
        <v>600</v>
      </c>
      <c r="R170" s="12">
        <f t="shared" si="49"/>
        <v>198</v>
      </c>
      <c r="S170" s="21">
        <v>0</v>
      </c>
      <c r="T170" s="28">
        <v>0</v>
      </c>
      <c r="U170" s="13">
        <f t="shared" si="47"/>
        <v>798</v>
      </c>
      <c r="V170" s="13">
        <f t="shared" si="50"/>
        <v>10500</v>
      </c>
      <c r="W170" s="11">
        <v>10500</v>
      </c>
      <c r="X170" s="16">
        <f t="shared" si="41"/>
        <v>0</v>
      </c>
    </row>
    <row r="171" spans="1:24" x14ac:dyDescent="0.2">
      <c r="A171" s="10" t="s">
        <v>315</v>
      </c>
      <c r="B171" s="11">
        <f t="shared" si="45"/>
        <v>162</v>
      </c>
      <c r="C171" s="11" t="s">
        <v>506</v>
      </c>
      <c r="D171" s="19" t="s">
        <v>50</v>
      </c>
      <c r="E171" s="11" t="s">
        <v>234</v>
      </c>
      <c r="F171" s="20">
        <v>42887</v>
      </c>
      <c r="G171" s="25">
        <v>30</v>
      </c>
      <c r="H171" s="13">
        <f t="shared" si="48"/>
        <v>5000</v>
      </c>
      <c r="I171" s="13">
        <f t="shared" si="51"/>
        <v>0</v>
      </c>
      <c r="J171" s="13">
        <f t="shared" si="44"/>
        <v>250</v>
      </c>
      <c r="L171" s="13">
        <f t="shared" si="46"/>
        <v>800</v>
      </c>
      <c r="N171" s="13">
        <f t="shared" si="52"/>
        <v>5248</v>
      </c>
      <c r="P171" s="13">
        <f t="shared" si="42"/>
        <v>11298</v>
      </c>
      <c r="Q171" s="12">
        <f t="shared" si="43"/>
        <v>600</v>
      </c>
      <c r="R171" s="12">
        <f t="shared" si="49"/>
        <v>198</v>
      </c>
      <c r="S171" s="21">
        <v>0</v>
      </c>
      <c r="T171" s="28">
        <v>0</v>
      </c>
      <c r="U171" s="13">
        <f t="shared" si="47"/>
        <v>798</v>
      </c>
      <c r="V171" s="13">
        <f t="shared" si="50"/>
        <v>10500</v>
      </c>
      <c r="W171" s="11">
        <v>10500</v>
      </c>
      <c r="X171" s="16">
        <f t="shared" si="41"/>
        <v>0</v>
      </c>
    </row>
    <row r="172" spans="1:24" x14ac:dyDescent="0.2">
      <c r="A172" s="10" t="s">
        <v>315</v>
      </c>
      <c r="B172" s="11">
        <f t="shared" si="45"/>
        <v>163</v>
      </c>
      <c r="C172" s="11" t="s">
        <v>392</v>
      </c>
      <c r="D172" s="19" t="s">
        <v>50</v>
      </c>
      <c r="E172" s="11" t="s">
        <v>234</v>
      </c>
      <c r="F172" s="20">
        <v>42912</v>
      </c>
      <c r="G172" s="25">
        <v>30</v>
      </c>
      <c r="H172" s="13">
        <f t="shared" si="48"/>
        <v>5000</v>
      </c>
      <c r="I172" s="13">
        <f t="shared" si="51"/>
        <v>0</v>
      </c>
      <c r="J172" s="13">
        <f t="shared" si="44"/>
        <v>250</v>
      </c>
      <c r="L172" s="13">
        <f t="shared" si="46"/>
        <v>800</v>
      </c>
      <c r="N172" s="13">
        <f t="shared" si="52"/>
        <v>5248</v>
      </c>
      <c r="P172" s="13">
        <f t="shared" si="42"/>
        <v>11298</v>
      </c>
      <c r="Q172" s="12">
        <f t="shared" si="43"/>
        <v>600</v>
      </c>
      <c r="R172" s="12">
        <f t="shared" si="49"/>
        <v>198</v>
      </c>
      <c r="S172" s="21">
        <v>0</v>
      </c>
      <c r="T172" s="28">
        <v>0</v>
      </c>
      <c r="U172" s="13">
        <f t="shared" si="47"/>
        <v>798</v>
      </c>
      <c r="V172" s="13">
        <f t="shared" si="50"/>
        <v>10500</v>
      </c>
      <c r="W172" s="11">
        <v>10500</v>
      </c>
      <c r="X172" s="16">
        <f t="shared" si="41"/>
        <v>0</v>
      </c>
    </row>
    <row r="173" spans="1:24" x14ac:dyDescent="0.2">
      <c r="A173" s="10" t="s">
        <v>315</v>
      </c>
      <c r="B173" s="11">
        <f t="shared" si="45"/>
        <v>164</v>
      </c>
      <c r="C173" s="11" t="s">
        <v>507</v>
      </c>
      <c r="D173" s="19" t="s">
        <v>50</v>
      </c>
      <c r="E173" s="11" t="s">
        <v>234</v>
      </c>
      <c r="F173" s="20">
        <v>42899</v>
      </c>
      <c r="G173" s="25">
        <v>30</v>
      </c>
      <c r="H173" s="13">
        <f t="shared" si="48"/>
        <v>5000</v>
      </c>
      <c r="I173" s="13">
        <f t="shared" si="51"/>
        <v>0</v>
      </c>
      <c r="J173" s="13">
        <f t="shared" si="44"/>
        <v>250</v>
      </c>
      <c r="L173" s="13">
        <f t="shared" si="46"/>
        <v>800</v>
      </c>
      <c r="N173" s="13">
        <f t="shared" si="52"/>
        <v>5248</v>
      </c>
      <c r="P173" s="13">
        <f t="shared" si="42"/>
        <v>11298</v>
      </c>
      <c r="Q173" s="12">
        <f t="shared" si="43"/>
        <v>600</v>
      </c>
      <c r="R173" s="12">
        <f t="shared" si="49"/>
        <v>198</v>
      </c>
      <c r="S173" s="21">
        <v>0</v>
      </c>
      <c r="T173" s="28">
        <v>0</v>
      </c>
      <c r="U173" s="13">
        <f t="shared" si="47"/>
        <v>798</v>
      </c>
      <c r="V173" s="13">
        <f t="shared" si="50"/>
        <v>10500</v>
      </c>
      <c r="W173" s="11">
        <v>10500</v>
      </c>
      <c r="X173" s="16">
        <f t="shared" si="41"/>
        <v>0</v>
      </c>
    </row>
    <row r="174" spans="1:24" x14ac:dyDescent="0.2">
      <c r="A174" s="10" t="s">
        <v>315</v>
      </c>
      <c r="B174" s="11">
        <f t="shared" si="45"/>
        <v>165</v>
      </c>
      <c r="C174" s="11" t="s">
        <v>508</v>
      </c>
      <c r="D174" s="19" t="s">
        <v>50</v>
      </c>
      <c r="E174" s="11" t="s">
        <v>234</v>
      </c>
      <c r="F174" s="20">
        <v>42894</v>
      </c>
      <c r="G174" s="25">
        <v>30</v>
      </c>
      <c r="H174" s="13">
        <f t="shared" si="48"/>
        <v>5000</v>
      </c>
      <c r="I174" s="13">
        <f t="shared" si="51"/>
        <v>0</v>
      </c>
      <c r="J174" s="13">
        <f t="shared" si="44"/>
        <v>250</v>
      </c>
      <c r="L174" s="13">
        <f t="shared" si="46"/>
        <v>800</v>
      </c>
      <c r="N174" s="13">
        <f t="shared" si="52"/>
        <v>5248</v>
      </c>
      <c r="P174" s="13">
        <f t="shared" si="42"/>
        <v>11298</v>
      </c>
      <c r="Q174" s="12">
        <f t="shared" si="43"/>
        <v>600</v>
      </c>
      <c r="R174" s="12">
        <f t="shared" si="49"/>
        <v>198</v>
      </c>
      <c r="S174" s="21">
        <v>0</v>
      </c>
      <c r="T174" s="28">
        <v>0</v>
      </c>
      <c r="U174" s="13">
        <f t="shared" si="47"/>
        <v>798</v>
      </c>
      <c r="V174" s="13">
        <f t="shared" si="50"/>
        <v>10500</v>
      </c>
      <c r="W174" s="11">
        <v>10500</v>
      </c>
      <c r="X174" s="16">
        <f t="shared" si="41"/>
        <v>0</v>
      </c>
    </row>
    <row r="175" spans="1:24" x14ac:dyDescent="0.2">
      <c r="A175" s="10" t="s">
        <v>315</v>
      </c>
      <c r="B175" s="11">
        <f t="shared" si="45"/>
        <v>166</v>
      </c>
      <c r="C175" s="11" t="s">
        <v>509</v>
      </c>
      <c r="D175" s="19" t="s">
        <v>50</v>
      </c>
      <c r="E175" s="11" t="s">
        <v>234</v>
      </c>
      <c r="F175" s="20">
        <v>42887</v>
      </c>
      <c r="G175" s="25">
        <v>30</v>
      </c>
      <c r="H175" s="13">
        <f t="shared" si="48"/>
        <v>5000</v>
      </c>
      <c r="I175" s="13">
        <f t="shared" si="51"/>
        <v>0</v>
      </c>
      <c r="J175" s="13">
        <f t="shared" si="44"/>
        <v>250</v>
      </c>
      <c r="L175" s="13">
        <f t="shared" si="46"/>
        <v>800</v>
      </c>
      <c r="N175" s="13">
        <f t="shared" si="52"/>
        <v>5248</v>
      </c>
      <c r="P175" s="13">
        <f t="shared" si="42"/>
        <v>11298</v>
      </c>
      <c r="Q175" s="12">
        <f t="shared" si="43"/>
        <v>600</v>
      </c>
      <c r="R175" s="12">
        <f t="shared" si="49"/>
        <v>198</v>
      </c>
      <c r="S175" s="21">
        <v>0</v>
      </c>
      <c r="T175" s="28">
        <v>0</v>
      </c>
      <c r="U175" s="13">
        <f t="shared" si="47"/>
        <v>798</v>
      </c>
      <c r="V175" s="13">
        <f t="shared" si="50"/>
        <v>10500</v>
      </c>
      <c r="W175" s="11">
        <v>10500</v>
      </c>
      <c r="X175" s="16">
        <f t="shared" si="41"/>
        <v>0</v>
      </c>
    </row>
    <row r="176" spans="1:24" x14ac:dyDescent="0.2">
      <c r="A176" s="10" t="s">
        <v>315</v>
      </c>
      <c r="B176" s="11">
        <f t="shared" si="45"/>
        <v>167</v>
      </c>
      <c r="C176" s="11" t="s">
        <v>510</v>
      </c>
      <c r="D176" s="19" t="s">
        <v>50</v>
      </c>
      <c r="E176" s="11" t="s">
        <v>234</v>
      </c>
      <c r="F176" s="20">
        <v>42896</v>
      </c>
      <c r="G176" s="25">
        <v>30</v>
      </c>
      <c r="H176" s="13">
        <f t="shared" si="48"/>
        <v>5000</v>
      </c>
      <c r="I176" s="13">
        <f t="shared" si="51"/>
        <v>0</v>
      </c>
      <c r="J176" s="13">
        <f t="shared" si="44"/>
        <v>250</v>
      </c>
      <c r="L176" s="13">
        <f t="shared" si="46"/>
        <v>800</v>
      </c>
      <c r="N176" s="13">
        <f t="shared" si="52"/>
        <v>5248</v>
      </c>
      <c r="P176" s="13">
        <f t="shared" si="42"/>
        <v>11298</v>
      </c>
      <c r="Q176" s="12">
        <f t="shared" si="43"/>
        <v>600</v>
      </c>
      <c r="R176" s="12">
        <f t="shared" si="49"/>
        <v>198</v>
      </c>
      <c r="S176" s="21">
        <v>0</v>
      </c>
      <c r="T176" s="28">
        <v>0</v>
      </c>
      <c r="U176" s="13">
        <f t="shared" si="47"/>
        <v>798</v>
      </c>
      <c r="V176" s="13">
        <f t="shared" si="50"/>
        <v>10500</v>
      </c>
      <c r="W176" s="11">
        <v>10500</v>
      </c>
      <c r="X176" s="16">
        <f t="shared" si="41"/>
        <v>0</v>
      </c>
    </row>
    <row r="177" spans="1:24" x14ac:dyDescent="0.2">
      <c r="A177" s="10" t="s">
        <v>315</v>
      </c>
      <c r="B177" s="11">
        <f t="shared" si="45"/>
        <v>168</v>
      </c>
      <c r="C177" s="11" t="s">
        <v>155</v>
      </c>
      <c r="D177" s="19" t="s">
        <v>50</v>
      </c>
      <c r="E177" s="11" t="s">
        <v>234</v>
      </c>
      <c r="F177" s="20">
        <v>42887</v>
      </c>
      <c r="G177" s="25">
        <v>30</v>
      </c>
      <c r="H177" s="13">
        <f t="shared" si="48"/>
        <v>5000</v>
      </c>
      <c r="I177" s="13">
        <f t="shared" si="51"/>
        <v>0</v>
      </c>
      <c r="J177" s="13">
        <f t="shared" si="44"/>
        <v>250</v>
      </c>
      <c r="L177" s="13">
        <f t="shared" si="46"/>
        <v>800</v>
      </c>
      <c r="N177" s="13">
        <f t="shared" si="52"/>
        <v>5248</v>
      </c>
      <c r="P177" s="13">
        <f t="shared" si="42"/>
        <v>11298</v>
      </c>
      <c r="Q177" s="12">
        <f t="shared" si="43"/>
        <v>600</v>
      </c>
      <c r="R177" s="12">
        <f t="shared" si="49"/>
        <v>198</v>
      </c>
      <c r="S177" s="21">
        <v>0</v>
      </c>
      <c r="T177" s="28">
        <v>0</v>
      </c>
      <c r="U177" s="13">
        <f t="shared" si="47"/>
        <v>798</v>
      </c>
      <c r="V177" s="13">
        <f t="shared" si="50"/>
        <v>10500</v>
      </c>
      <c r="W177" s="11">
        <v>10500</v>
      </c>
      <c r="X177" s="16">
        <f t="shared" si="41"/>
        <v>0</v>
      </c>
    </row>
    <row r="178" spans="1:24" x14ac:dyDescent="0.2">
      <c r="A178" s="10" t="s">
        <v>584</v>
      </c>
      <c r="B178" s="11">
        <f t="shared" si="45"/>
        <v>169</v>
      </c>
      <c r="C178" s="11" t="s">
        <v>511</v>
      </c>
      <c r="D178" s="19" t="s">
        <v>50</v>
      </c>
      <c r="E178" s="11" t="s">
        <v>234</v>
      </c>
      <c r="F178" s="20">
        <v>42486</v>
      </c>
      <c r="G178" s="25">
        <v>30</v>
      </c>
      <c r="H178" s="13">
        <f t="shared" si="48"/>
        <v>5000</v>
      </c>
      <c r="I178" s="13">
        <f t="shared" si="51"/>
        <v>0</v>
      </c>
      <c r="J178" s="13">
        <f t="shared" si="44"/>
        <v>250</v>
      </c>
      <c r="L178" s="13">
        <f t="shared" si="46"/>
        <v>800</v>
      </c>
      <c r="N178" s="13">
        <f t="shared" si="52"/>
        <v>5248</v>
      </c>
      <c r="P178" s="13">
        <f t="shared" si="42"/>
        <v>11298</v>
      </c>
      <c r="Q178" s="12">
        <f t="shared" si="43"/>
        <v>600</v>
      </c>
      <c r="R178" s="12">
        <f t="shared" si="49"/>
        <v>198</v>
      </c>
      <c r="S178" s="21">
        <v>0</v>
      </c>
      <c r="T178" s="28">
        <v>0</v>
      </c>
      <c r="U178" s="13">
        <f t="shared" si="47"/>
        <v>798</v>
      </c>
      <c r="V178" s="13">
        <f t="shared" si="50"/>
        <v>10500</v>
      </c>
      <c r="W178" s="11">
        <v>10500</v>
      </c>
      <c r="X178" s="16">
        <f t="shared" si="41"/>
        <v>0</v>
      </c>
    </row>
    <row r="179" spans="1:24" x14ac:dyDescent="0.2">
      <c r="A179" s="10" t="s">
        <v>315</v>
      </c>
      <c r="B179" s="11">
        <f t="shared" si="45"/>
        <v>170</v>
      </c>
      <c r="C179" s="11" t="s">
        <v>512</v>
      </c>
      <c r="D179" s="19" t="s">
        <v>50</v>
      </c>
      <c r="E179" s="11" t="s">
        <v>234</v>
      </c>
      <c r="F179" s="20">
        <v>42887</v>
      </c>
      <c r="G179" s="25">
        <v>30</v>
      </c>
      <c r="H179" s="13">
        <f t="shared" si="48"/>
        <v>5000</v>
      </c>
      <c r="I179" s="13">
        <f t="shared" si="51"/>
        <v>0</v>
      </c>
      <c r="J179" s="13">
        <f t="shared" si="44"/>
        <v>250</v>
      </c>
      <c r="L179" s="13">
        <f t="shared" si="46"/>
        <v>800</v>
      </c>
      <c r="N179" s="13">
        <f t="shared" si="52"/>
        <v>5248</v>
      </c>
      <c r="P179" s="13">
        <f t="shared" si="42"/>
        <v>11298</v>
      </c>
      <c r="Q179" s="12">
        <f t="shared" si="43"/>
        <v>600</v>
      </c>
      <c r="R179" s="12">
        <f t="shared" si="49"/>
        <v>198</v>
      </c>
      <c r="S179" s="21">
        <v>0</v>
      </c>
      <c r="T179" s="28">
        <v>0</v>
      </c>
      <c r="U179" s="13">
        <f t="shared" si="47"/>
        <v>798</v>
      </c>
      <c r="V179" s="13">
        <f t="shared" si="50"/>
        <v>10500</v>
      </c>
      <c r="W179" s="11">
        <v>10500</v>
      </c>
      <c r="X179" s="16">
        <f t="shared" si="41"/>
        <v>0</v>
      </c>
    </row>
    <row r="180" spans="1:24" x14ac:dyDescent="0.2">
      <c r="A180" s="10" t="s">
        <v>315</v>
      </c>
      <c r="B180" s="11">
        <f t="shared" si="45"/>
        <v>171</v>
      </c>
      <c r="C180" s="11" t="s">
        <v>513</v>
      </c>
      <c r="D180" s="19" t="s">
        <v>50</v>
      </c>
      <c r="E180" s="11" t="s">
        <v>234</v>
      </c>
      <c r="F180" s="20">
        <v>42900</v>
      </c>
      <c r="G180" s="25">
        <v>30</v>
      </c>
      <c r="H180" s="13">
        <f t="shared" si="48"/>
        <v>5000</v>
      </c>
      <c r="I180" s="13">
        <f t="shared" si="51"/>
        <v>0</v>
      </c>
      <c r="J180" s="13">
        <f t="shared" si="44"/>
        <v>250</v>
      </c>
      <c r="L180" s="13">
        <f t="shared" si="46"/>
        <v>800</v>
      </c>
      <c r="N180" s="13">
        <f t="shared" si="52"/>
        <v>5248</v>
      </c>
      <c r="P180" s="13">
        <f t="shared" si="42"/>
        <v>11298</v>
      </c>
      <c r="Q180" s="12">
        <f t="shared" si="43"/>
        <v>600</v>
      </c>
      <c r="R180" s="12">
        <f t="shared" si="49"/>
        <v>198</v>
      </c>
      <c r="S180" s="21">
        <v>0</v>
      </c>
      <c r="T180" s="28">
        <v>0</v>
      </c>
      <c r="U180" s="13">
        <f t="shared" si="47"/>
        <v>798</v>
      </c>
      <c r="V180" s="13">
        <f t="shared" si="50"/>
        <v>10500</v>
      </c>
      <c r="W180" s="11">
        <v>10500</v>
      </c>
      <c r="X180" s="16">
        <f t="shared" si="41"/>
        <v>0</v>
      </c>
    </row>
    <row r="181" spans="1:24" x14ac:dyDescent="0.2">
      <c r="A181" s="10" t="s">
        <v>315</v>
      </c>
      <c r="B181" s="11">
        <f t="shared" si="45"/>
        <v>172</v>
      </c>
      <c r="C181" s="11" t="s">
        <v>514</v>
      </c>
      <c r="D181" s="19" t="s">
        <v>50</v>
      </c>
      <c r="E181" s="11" t="s">
        <v>234</v>
      </c>
      <c r="F181" s="20">
        <v>42888</v>
      </c>
      <c r="G181" s="25">
        <v>30</v>
      </c>
      <c r="H181" s="13">
        <f t="shared" si="48"/>
        <v>5000</v>
      </c>
      <c r="I181" s="13">
        <f t="shared" si="51"/>
        <v>0</v>
      </c>
      <c r="J181" s="13">
        <f t="shared" si="44"/>
        <v>250</v>
      </c>
      <c r="L181" s="13">
        <f t="shared" si="46"/>
        <v>800</v>
      </c>
      <c r="N181" s="13">
        <f t="shared" si="52"/>
        <v>5248</v>
      </c>
      <c r="P181" s="13">
        <f t="shared" si="42"/>
        <v>11298</v>
      </c>
      <c r="Q181" s="12">
        <f t="shared" si="43"/>
        <v>600</v>
      </c>
      <c r="R181" s="12">
        <f t="shared" si="49"/>
        <v>198</v>
      </c>
      <c r="S181" s="21">
        <v>0</v>
      </c>
      <c r="T181" s="28">
        <v>0</v>
      </c>
      <c r="U181" s="13">
        <f t="shared" si="47"/>
        <v>798</v>
      </c>
      <c r="V181" s="13">
        <f t="shared" si="50"/>
        <v>10500</v>
      </c>
      <c r="W181" s="11">
        <v>10500</v>
      </c>
      <c r="X181" s="16">
        <f t="shared" si="41"/>
        <v>0</v>
      </c>
    </row>
    <row r="182" spans="1:24" x14ac:dyDescent="0.2">
      <c r="A182" s="10" t="s">
        <v>315</v>
      </c>
      <c r="B182" s="11">
        <f t="shared" si="45"/>
        <v>173</v>
      </c>
      <c r="C182" s="11" t="s">
        <v>515</v>
      </c>
      <c r="D182" s="19" t="s">
        <v>50</v>
      </c>
      <c r="E182" s="11" t="s">
        <v>234</v>
      </c>
      <c r="F182" s="20">
        <v>42887</v>
      </c>
      <c r="G182" s="25">
        <v>30</v>
      </c>
      <c r="H182" s="13">
        <f t="shared" si="48"/>
        <v>5000</v>
      </c>
      <c r="I182" s="13">
        <f t="shared" si="51"/>
        <v>0</v>
      </c>
      <c r="J182" s="13">
        <f t="shared" si="44"/>
        <v>250</v>
      </c>
      <c r="L182" s="13">
        <f t="shared" si="46"/>
        <v>800</v>
      </c>
      <c r="N182" s="13">
        <f t="shared" si="52"/>
        <v>5248</v>
      </c>
      <c r="P182" s="13">
        <f t="shared" si="42"/>
        <v>11298</v>
      </c>
      <c r="Q182" s="12">
        <f t="shared" si="43"/>
        <v>600</v>
      </c>
      <c r="R182" s="12">
        <f t="shared" si="49"/>
        <v>198</v>
      </c>
      <c r="S182" s="21">
        <v>0</v>
      </c>
      <c r="T182" s="28">
        <v>0</v>
      </c>
      <c r="U182" s="13">
        <f t="shared" si="47"/>
        <v>798</v>
      </c>
      <c r="V182" s="13">
        <f t="shared" si="50"/>
        <v>10500</v>
      </c>
      <c r="W182" s="11">
        <v>10500</v>
      </c>
      <c r="X182" s="16">
        <f t="shared" si="41"/>
        <v>0</v>
      </c>
    </row>
    <row r="183" spans="1:24" x14ac:dyDescent="0.2">
      <c r="A183" s="10" t="s">
        <v>315</v>
      </c>
      <c r="B183" s="11">
        <f t="shared" si="45"/>
        <v>174</v>
      </c>
      <c r="C183" s="11" t="s">
        <v>505</v>
      </c>
      <c r="D183" s="19" t="s">
        <v>50</v>
      </c>
      <c r="E183" s="11" t="s">
        <v>234</v>
      </c>
      <c r="F183" s="20">
        <v>42910</v>
      </c>
      <c r="G183" s="25">
        <v>30</v>
      </c>
      <c r="H183" s="13">
        <f t="shared" si="48"/>
        <v>5000</v>
      </c>
      <c r="I183" s="13">
        <f t="shared" si="51"/>
        <v>0</v>
      </c>
      <c r="J183" s="13">
        <f t="shared" si="44"/>
        <v>250</v>
      </c>
      <c r="L183" s="13">
        <f t="shared" si="46"/>
        <v>800</v>
      </c>
      <c r="N183" s="13">
        <f t="shared" si="52"/>
        <v>5248</v>
      </c>
      <c r="P183" s="13">
        <f t="shared" si="42"/>
        <v>11298</v>
      </c>
      <c r="Q183" s="12">
        <f t="shared" si="43"/>
        <v>600</v>
      </c>
      <c r="R183" s="12">
        <f t="shared" si="49"/>
        <v>198</v>
      </c>
      <c r="S183" s="21">
        <v>0</v>
      </c>
      <c r="T183" s="28">
        <v>0</v>
      </c>
      <c r="U183" s="13">
        <f t="shared" si="47"/>
        <v>798</v>
      </c>
      <c r="V183" s="13">
        <f t="shared" si="50"/>
        <v>10500</v>
      </c>
      <c r="W183" s="11">
        <v>10500</v>
      </c>
      <c r="X183" s="16">
        <f t="shared" si="41"/>
        <v>0</v>
      </c>
    </row>
    <row r="184" spans="1:24" x14ac:dyDescent="0.2">
      <c r="A184" s="10" t="s">
        <v>315</v>
      </c>
      <c r="B184" s="11">
        <f t="shared" si="45"/>
        <v>175</v>
      </c>
      <c r="C184" s="11" t="s">
        <v>516</v>
      </c>
      <c r="D184" s="19" t="s">
        <v>50</v>
      </c>
      <c r="E184" s="11" t="s">
        <v>234</v>
      </c>
      <c r="F184" s="20">
        <v>42895</v>
      </c>
      <c r="G184" s="25">
        <v>30</v>
      </c>
      <c r="H184" s="13">
        <f t="shared" si="48"/>
        <v>5000</v>
      </c>
      <c r="I184" s="13">
        <f t="shared" si="51"/>
        <v>0</v>
      </c>
      <c r="J184" s="13">
        <f t="shared" si="44"/>
        <v>250</v>
      </c>
      <c r="L184" s="13">
        <f t="shared" si="46"/>
        <v>800</v>
      </c>
      <c r="N184" s="13">
        <f t="shared" si="52"/>
        <v>5248</v>
      </c>
      <c r="P184" s="13">
        <f t="shared" si="42"/>
        <v>11298</v>
      </c>
      <c r="Q184" s="12">
        <f t="shared" si="43"/>
        <v>600</v>
      </c>
      <c r="R184" s="12">
        <f t="shared" si="49"/>
        <v>198</v>
      </c>
      <c r="S184" s="21">
        <v>0</v>
      </c>
      <c r="T184" s="28">
        <v>0</v>
      </c>
      <c r="U184" s="13">
        <f t="shared" si="47"/>
        <v>798</v>
      </c>
      <c r="V184" s="13">
        <f t="shared" si="50"/>
        <v>10500</v>
      </c>
      <c r="W184" s="11">
        <v>10500</v>
      </c>
      <c r="X184" s="16">
        <f t="shared" si="41"/>
        <v>0</v>
      </c>
    </row>
    <row r="185" spans="1:24" x14ac:dyDescent="0.2">
      <c r="A185" s="10" t="s">
        <v>315</v>
      </c>
      <c r="B185" s="11">
        <f t="shared" si="45"/>
        <v>176</v>
      </c>
      <c r="C185" s="11" t="s">
        <v>517</v>
      </c>
      <c r="D185" s="19" t="s">
        <v>50</v>
      </c>
      <c r="E185" s="11" t="s">
        <v>234</v>
      </c>
      <c r="F185" s="20">
        <v>42893</v>
      </c>
      <c r="G185" s="25">
        <v>30</v>
      </c>
      <c r="H185" s="13">
        <f t="shared" si="48"/>
        <v>5000</v>
      </c>
      <c r="I185" s="13">
        <f t="shared" si="51"/>
        <v>0</v>
      </c>
      <c r="J185" s="13">
        <f t="shared" si="44"/>
        <v>250</v>
      </c>
      <c r="L185" s="13">
        <f t="shared" si="46"/>
        <v>800</v>
      </c>
      <c r="N185" s="13">
        <f t="shared" si="52"/>
        <v>5248</v>
      </c>
      <c r="P185" s="13">
        <f t="shared" si="42"/>
        <v>11298</v>
      </c>
      <c r="Q185" s="12">
        <f t="shared" si="43"/>
        <v>600</v>
      </c>
      <c r="R185" s="12">
        <f t="shared" si="49"/>
        <v>198</v>
      </c>
      <c r="S185" s="21">
        <v>0</v>
      </c>
      <c r="T185" s="28">
        <v>0</v>
      </c>
      <c r="U185" s="13">
        <f t="shared" si="47"/>
        <v>798</v>
      </c>
      <c r="V185" s="13">
        <f t="shared" si="50"/>
        <v>10500</v>
      </c>
      <c r="W185" s="11">
        <v>10500</v>
      </c>
      <c r="X185" s="16">
        <f t="shared" si="41"/>
        <v>0</v>
      </c>
    </row>
    <row r="186" spans="1:24" x14ac:dyDescent="0.2">
      <c r="A186" s="10" t="s">
        <v>315</v>
      </c>
      <c r="B186" s="11">
        <f t="shared" si="45"/>
        <v>177</v>
      </c>
      <c r="C186" s="11" t="s">
        <v>518</v>
      </c>
      <c r="D186" s="19" t="s">
        <v>50</v>
      </c>
      <c r="E186" s="11" t="s">
        <v>234</v>
      </c>
      <c r="F186" s="20">
        <v>42887</v>
      </c>
      <c r="G186" s="25">
        <v>30</v>
      </c>
      <c r="H186" s="13">
        <f t="shared" si="48"/>
        <v>5000</v>
      </c>
      <c r="I186" s="13">
        <f t="shared" si="51"/>
        <v>0</v>
      </c>
      <c r="J186" s="13">
        <f t="shared" si="44"/>
        <v>250</v>
      </c>
      <c r="L186" s="13">
        <f t="shared" si="46"/>
        <v>800</v>
      </c>
      <c r="N186" s="13">
        <f t="shared" si="52"/>
        <v>5248</v>
      </c>
      <c r="P186" s="13">
        <f t="shared" si="42"/>
        <v>11298</v>
      </c>
      <c r="Q186" s="12">
        <f t="shared" si="43"/>
        <v>600</v>
      </c>
      <c r="R186" s="12">
        <f t="shared" si="49"/>
        <v>198</v>
      </c>
      <c r="S186" s="21">
        <v>0</v>
      </c>
      <c r="T186" s="28">
        <v>0</v>
      </c>
      <c r="U186" s="13">
        <f t="shared" si="47"/>
        <v>798</v>
      </c>
      <c r="V186" s="13">
        <f t="shared" si="50"/>
        <v>10500</v>
      </c>
      <c r="W186" s="11">
        <v>10500</v>
      </c>
      <c r="X186" s="16">
        <f t="shared" ref="X186:X249" si="53">W186-V186</f>
        <v>0</v>
      </c>
    </row>
    <row r="187" spans="1:24" x14ac:dyDescent="0.2">
      <c r="A187" s="10" t="s">
        <v>315</v>
      </c>
      <c r="B187" s="11">
        <f t="shared" si="45"/>
        <v>178</v>
      </c>
      <c r="C187" s="11" t="s">
        <v>519</v>
      </c>
      <c r="D187" s="19" t="s">
        <v>50</v>
      </c>
      <c r="E187" s="11" t="s">
        <v>234</v>
      </c>
      <c r="F187" s="20">
        <v>42895</v>
      </c>
      <c r="G187" s="25">
        <v>30</v>
      </c>
      <c r="H187" s="13">
        <f t="shared" si="48"/>
        <v>5000</v>
      </c>
      <c r="I187" s="13">
        <f t="shared" si="51"/>
        <v>0</v>
      </c>
      <c r="J187" s="13">
        <f t="shared" si="44"/>
        <v>250</v>
      </c>
      <c r="L187" s="13">
        <f t="shared" si="46"/>
        <v>800</v>
      </c>
      <c r="N187" s="13">
        <f t="shared" si="52"/>
        <v>5248</v>
      </c>
      <c r="P187" s="13">
        <f t="shared" si="42"/>
        <v>11298</v>
      </c>
      <c r="Q187" s="12">
        <f t="shared" si="43"/>
        <v>600</v>
      </c>
      <c r="R187" s="12">
        <f t="shared" si="49"/>
        <v>198</v>
      </c>
      <c r="S187" s="21">
        <v>0</v>
      </c>
      <c r="T187" s="28">
        <v>0</v>
      </c>
      <c r="U187" s="13">
        <f t="shared" si="47"/>
        <v>798</v>
      </c>
      <c r="V187" s="13">
        <f t="shared" si="50"/>
        <v>10500</v>
      </c>
      <c r="W187" s="11">
        <v>10500</v>
      </c>
      <c r="X187" s="16">
        <f t="shared" si="53"/>
        <v>0</v>
      </c>
    </row>
    <row r="188" spans="1:24" x14ac:dyDescent="0.2">
      <c r="A188" s="10" t="s">
        <v>315</v>
      </c>
      <c r="B188" s="11">
        <f t="shared" si="45"/>
        <v>179</v>
      </c>
      <c r="C188" s="11" t="s">
        <v>391</v>
      </c>
      <c r="D188" s="19" t="s">
        <v>50</v>
      </c>
      <c r="E188" s="11" t="s">
        <v>234</v>
      </c>
      <c r="F188" s="20">
        <v>42899</v>
      </c>
      <c r="G188" s="25">
        <v>30</v>
      </c>
      <c r="H188" s="13">
        <f t="shared" si="48"/>
        <v>5000</v>
      </c>
      <c r="I188" s="13">
        <f t="shared" si="51"/>
        <v>0</v>
      </c>
      <c r="J188" s="13">
        <f t="shared" si="44"/>
        <v>250</v>
      </c>
      <c r="L188" s="13">
        <f t="shared" si="46"/>
        <v>800</v>
      </c>
      <c r="N188" s="13">
        <f t="shared" si="52"/>
        <v>5248</v>
      </c>
      <c r="P188" s="13">
        <f t="shared" si="42"/>
        <v>11298</v>
      </c>
      <c r="Q188" s="12">
        <f t="shared" si="43"/>
        <v>600</v>
      </c>
      <c r="R188" s="12">
        <f t="shared" si="49"/>
        <v>198</v>
      </c>
      <c r="S188" s="21">
        <v>0</v>
      </c>
      <c r="T188" s="28">
        <v>0</v>
      </c>
      <c r="U188" s="13">
        <f t="shared" si="47"/>
        <v>798</v>
      </c>
      <c r="V188" s="13">
        <f t="shared" si="50"/>
        <v>10500</v>
      </c>
      <c r="W188" s="11">
        <v>10500</v>
      </c>
      <c r="X188" s="16">
        <f t="shared" si="53"/>
        <v>0</v>
      </c>
    </row>
    <row r="189" spans="1:24" x14ac:dyDescent="0.2">
      <c r="A189" s="10" t="s">
        <v>315</v>
      </c>
      <c r="B189" s="11">
        <f t="shared" si="45"/>
        <v>180</v>
      </c>
      <c r="C189" s="11" t="s">
        <v>520</v>
      </c>
      <c r="D189" s="19" t="s">
        <v>50</v>
      </c>
      <c r="E189" s="11" t="s">
        <v>234</v>
      </c>
      <c r="F189" s="20">
        <v>42899</v>
      </c>
      <c r="G189" s="25">
        <v>30</v>
      </c>
      <c r="H189" s="13">
        <f t="shared" si="48"/>
        <v>5000</v>
      </c>
      <c r="I189" s="13">
        <f t="shared" si="51"/>
        <v>0</v>
      </c>
      <c r="J189" s="13">
        <f t="shared" si="44"/>
        <v>250</v>
      </c>
      <c r="L189" s="13">
        <f t="shared" si="46"/>
        <v>800</v>
      </c>
      <c r="N189" s="13">
        <f t="shared" si="52"/>
        <v>5248</v>
      </c>
      <c r="P189" s="13">
        <f t="shared" si="42"/>
        <v>11298</v>
      </c>
      <c r="Q189" s="12">
        <f t="shared" si="43"/>
        <v>600</v>
      </c>
      <c r="R189" s="12">
        <f t="shared" si="49"/>
        <v>198</v>
      </c>
      <c r="S189" s="21">
        <v>0</v>
      </c>
      <c r="T189" s="28">
        <v>0</v>
      </c>
      <c r="U189" s="13">
        <f t="shared" si="47"/>
        <v>798</v>
      </c>
      <c r="V189" s="13">
        <f t="shared" si="50"/>
        <v>10500</v>
      </c>
      <c r="W189" s="11">
        <v>10500</v>
      </c>
      <c r="X189" s="16">
        <f t="shared" si="53"/>
        <v>0</v>
      </c>
    </row>
    <row r="190" spans="1:24" x14ac:dyDescent="0.2">
      <c r="A190" s="10" t="s">
        <v>315</v>
      </c>
      <c r="B190" s="11">
        <f t="shared" si="45"/>
        <v>181</v>
      </c>
      <c r="C190" s="11" t="s">
        <v>492</v>
      </c>
      <c r="D190" s="19" t="s">
        <v>50</v>
      </c>
      <c r="E190" s="11" t="s">
        <v>234</v>
      </c>
      <c r="F190" s="20">
        <v>42899</v>
      </c>
      <c r="G190" s="25">
        <v>30</v>
      </c>
      <c r="H190" s="13">
        <f t="shared" si="48"/>
        <v>5000</v>
      </c>
      <c r="I190" s="13">
        <f t="shared" si="51"/>
        <v>0</v>
      </c>
      <c r="J190" s="13">
        <f t="shared" si="44"/>
        <v>250</v>
      </c>
      <c r="L190" s="13">
        <f t="shared" si="46"/>
        <v>800</v>
      </c>
      <c r="N190" s="13">
        <f t="shared" si="52"/>
        <v>5248</v>
      </c>
      <c r="P190" s="13">
        <f t="shared" si="42"/>
        <v>11298</v>
      </c>
      <c r="Q190" s="12">
        <f t="shared" si="43"/>
        <v>600</v>
      </c>
      <c r="R190" s="12">
        <f t="shared" si="49"/>
        <v>198</v>
      </c>
      <c r="S190" s="21">
        <v>0</v>
      </c>
      <c r="T190" s="28">
        <v>0</v>
      </c>
      <c r="U190" s="13">
        <f t="shared" si="47"/>
        <v>798</v>
      </c>
      <c r="V190" s="13">
        <f t="shared" si="50"/>
        <v>10500</v>
      </c>
      <c r="W190" s="11">
        <v>10500</v>
      </c>
      <c r="X190" s="16"/>
    </row>
    <row r="191" spans="1:24" x14ac:dyDescent="0.2">
      <c r="A191" s="10" t="s">
        <v>315</v>
      </c>
      <c r="B191" s="11">
        <f t="shared" si="45"/>
        <v>182</v>
      </c>
      <c r="C191" s="11" t="s">
        <v>521</v>
      </c>
      <c r="D191" s="19" t="s">
        <v>50</v>
      </c>
      <c r="E191" s="11" t="s">
        <v>234</v>
      </c>
      <c r="F191" s="20">
        <v>42899</v>
      </c>
      <c r="G191" s="25">
        <v>30</v>
      </c>
      <c r="H191" s="13">
        <f t="shared" si="48"/>
        <v>5000</v>
      </c>
      <c r="I191" s="13">
        <f t="shared" si="51"/>
        <v>0</v>
      </c>
      <c r="J191" s="13">
        <f t="shared" si="44"/>
        <v>250</v>
      </c>
      <c r="L191" s="13">
        <f t="shared" si="46"/>
        <v>800</v>
      </c>
      <c r="N191" s="13">
        <f t="shared" si="52"/>
        <v>5248</v>
      </c>
      <c r="P191" s="13">
        <f t="shared" si="42"/>
        <v>11298</v>
      </c>
      <c r="Q191" s="12">
        <f t="shared" si="43"/>
        <v>600</v>
      </c>
      <c r="R191" s="12">
        <f t="shared" si="49"/>
        <v>198</v>
      </c>
      <c r="S191" s="21">
        <v>0</v>
      </c>
      <c r="T191" s="28">
        <v>0</v>
      </c>
      <c r="U191" s="13">
        <f t="shared" si="47"/>
        <v>798</v>
      </c>
      <c r="V191" s="13">
        <f t="shared" si="50"/>
        <v>10500</v>
      </c>
      <c r="W191" s="11">
        <v>10500</v>
      </c>
      <c r="X191" s="16">
        <f t="shared" si="53"/>
        <v>0</v>
      </c>
    </row>
    <row r="192" spans="1:24" x14ac:dyDescent="0.2">
      <c r="A192" s="10" t="s">
        <v>315</v>
      </c>
      <c r="B192" s="11">
        <f t="shared" si="45"/>
        <v>183</v>
      </c>
      <c r="C192" s="11" t="s">
        <v>522</v>
      </c>
      <c r="D192" s="19" t="s">
        <v>50</v>
      </c>
      <c r="E192" s="11" t="s">
        <v>234</v>
      </c>
      <c r="F192" s="20">
        <v>42887</v>
      </c>
      <c r="G192" s="25">
        <v>30</v>
      </c>
      <c r="H192" s="13">
        <f t="shared" si="48"/>
        <v>5000</v>
      </c>
      <c r="I192" s="13">
        <f t="shared" si="51"/>
        <v>0</v>
      </c>
      <c r="J192" s="13">
        <f t="shared" si="44"/>
        <v>250</v>
      </c>
      <c r="L192" s="13">
        <f t="shared" si="46"/>
        <v>800</v>
      </c>
      <c r="N192" s="13">
        <f t="shared" si="52"/>
        <v>5248</v>
      </c>
      <c r="P192" s="13">
        <f t="shared" si="42"/>
        <v>11298</v>
      </c>
      <c r="Q192" s="12">
        <f t="shared" si="43"/>
        <v>600</v>
      </c>
      <c r="R192" s="12">
        <f t="shared" si="49"/>
        <v>198</v>
      </c>
      <c r="S192" s="21">
        <v>0</v>
      </c>
      <c r="T192" s="28">
        <v>0</v>
      </c>
      <c r="U192" s="13">
        <f t="shared" si="47"/>
        <v>798</v>
      </c>
      <c r="V192" s="13">
        <f t="shared" si="50"/>
        <v>10500</v>
      </c>
      <c r="W192" s="11">
        <v>10500</v>
      </c>
      <c r="X192" s="16">
        <f t="shared" si="53"/>
        <v>0</v>
      </c>
    </row>
    <row r="193" spans="1:24" x14ac:dyDescent="0.2">
      <c r="A193" s="10" t="s">
        <v>315</v>
      </c>
      <c r="B193" s="11">
        <f t="shared" si="45"/>
        <v>184</v>
      </c>
      <c r="C193" s="11" t="s">
        <v>255</v>
      </c>
      <c r="D193" s="19" t="s">
        <v>50</v>
      </c>
      <c r="E193" s="11" t="s">
        <v>234</v>
      </c>
      <c r="F193" s="20">
        <v>42899</v>
      </c>
      <c r="G193" s="25">
        <v>30</v>
      </c>
      <c r="H193" s="13">
        <f t="shared" si="48"/>
        <v>5000</v>
      </c>
      <c r="I193" s="13">
        <f t="shared" si="51"/>
        <v>0</v>
      </c>
      <c r="J193" s="13">
        <f t="shared" si="44"/>
        <v>250</v>
      </c>
      <c r="L193" s="13">
        <f t="shared" si="46"/>
        <v>800</v>
      </c>
      <c r="N193" s="13">
        <f t="shared" si="52"/>
        <v>5248</v>
      </c>
      <c r="P193" s="13">
        <f t="shared" si="42"/>
        <v>11298</v>
      </c>
      <c r="Q193" s="12">
        <f t="shared" si="43"/>
        <v>600</v>
      </c>
      <c r="R193" s="12">
        <f t="shared" si="49"/>
        <v>198</v>
      </c>
      <c r="S193" s="21">
        <v>0</v>
      </c>
      <c r="T193" s="28">
        <v>0</v>
      </c>
      <c r="U193" s="13">
        <f t="shared" si="47"/>
        <v>798</v>
      </c>
      <c r="V193" s="13">
        <f t="shared" si="50"/>
        <v>10500</v>
      </c>
      <c r="W193" s="11">
        <v>10500</v>
      </c>
      <c r="X193" s="16">
        <f t="shared" si="53"/>
        <v>0</v>
      </c>
    </row>
    <row r="194" spans="1:24" x14ac:dyDescent="0.2">
      <c r="A194" s="10" t="s">
        <v>315</v>
      </c>
      <c r="B194" s="11">
        <f t="shared" si="45"/>
        <v>185</v>
      </c>
      <c r="C194" s="11" t="s">
        <v>523</v>
      </c>
      <c r="D194" s="19" t="s">
        <v>50</v>
      </c>
      <c r="E194" s="11" t="s">
        <v>234</v>
      </c>
      <c r="F194" s="20">
        <v>42888</v>
      </c>
      <c r="G194" s="25">
        <v>30</v>
      </c>
      <c r="H194" s="13">
        <f t="shared" si="48"/>
        <v>5000</v>
      </c>
      <c r="I194" s="13">
        <f t="shared" si="51"/>
        <v>0</v>
      </c>
      <c r="J194" s="13">
        <f t="shared" si="44"/>
        <v>250</v>
      </c>
      <c r="L194" s="13">
        <f t="shared" si="46"/>
        <v>800</v>
      </c>
      <c r="N194" s="13">
        <f t="shared" si="52"/>
        <v>5248</v>
      </c>
      <c r="P194" s="13">
        <f t="shared" si="42"/>
        <v>11298</v>
      </c>
      <c r="Q194" s="12">
        <f t="shared" si="43"/>
        <v>600</v>
      </c>
      <c r="R194" s="12">
        <f t="shared" si="49"/>
        <v>198</v>
      </c>
      <c r="S194" s="21">
        <v>0</v>
      </c>
      <c r="T194" s="28">
        <v>0</v>
      </c>
      <c r="U194" s="13">
        <f t="shared" si="47"/>
        <v>798</v>
      </c>
      <c r="V194" s="13">
        <f t="shared" si="50"/>
        <v>10500</v>
      </c>
      <c r="W194" s="11">
        <v>10500</v>
      </c>
      <c r="X194" s="16">
        <f t="shared" si="53"/>
        <v>0</v>
      </c>
    </row>
    <row r="195" spans="1:24" x14ac:dyDescent="0.2">
      <c r="A195" s="10" t="s">
        <v>315</v>
      </c>
      <c r="B195" s="11">
        <f t="shared" si="45"/>
        <v>186</v>
      </c>
      <c r="C195" s="11" t="s">
        <v>524</v>
      </c>
      <c r="D195" s="19" t="s">
        <v>50</v>
      </c>
      <c r="E195" s="11" t="s">
        <v>234</v>
      </c>
      <c r="F195" s="20">
        <v>42899</v>
      </c>
      <c r="G195" s="25">
        <v>30</v>
      </c>
      <c r="H195" s="13">
        <f t="shared" si="48"/>
        <v>5000</v>
      </c>
      <c r="I195" s="13">
        <f t="shared" si="51"/>
        <v>0</v>
      </c>
      <c r="J195" s="13">
        <f t="shared" si="44"/>
        <v>250</v>
      </c>
      <c r="L195" s="13">
        <f t="shared" si="46"/>
        <v>800</v>
      </c>
      <c r="N195" s="13">
        <f t="shared" si="52"/>
        <v>5248</v>
      </c>
      <c r="P195" s="13">
        <f t="shared" si="42"/>
        <v>11298</v>
      </c>
      <c r="Q195" s="12">
        <f t="shared" si="43"/>
        <v>600</v>
      </c>
      <c r="R195" s="12">
        <f t="shared" si="49"/>
        <v>198</v>
      </c>
      <c r="S195" s="21">
        <v>0</v>
      </c>
      <c r="T195" s="28">
        <v>0</v>
      </c>
      <c r="U195" s="13">
        <f t="shared" si="47"/>
        <v>798</v>
      </c>
      <c r="V195" s="13">
        <f t="shared" si="50"/>
        <v>10500</v>
      </c>
      <c r="W195" s="11">
        <v>10500</v>
      </c>
      <c r="X195" s="16">
        <f t="shared" si="53"/>
        <v>0</v>
      </c>
    </row>
    <row r="196" spans="1:24" x14ac:dyDescent="0.2">
      <c r="A196" s="10" t="s">
        <v>315</v>
      </c>
      <c r="B196" s="11">
        <f t="shared" si="45"/>
        <v>187</v>
      </c>
      <c r="C196" s="11" t="s">
        <v>525</v>
      </c>
      <c r="D196" s="19" t="s">
        <v>50</v>
      </c>
      <c r="E196" s="11" t="s">
        <v>234</v>
      </c>
      <c r="F196" s="20">
        <v>42887</v>
      </c>
      <c r="G196" s="25">
        <v>30</v>
      </c>
      <c r="H196" s="13">
        <f t="shared" si="48"/>
        <v>5000</v>
      </c>
      <c r="I196" s="13">
        <f t="shared" si="51"/>
        <v>0</v>
      </c>
      <c r="J196" s="13">
        <f t="shared" si="44"/>
        <v>250</v>
      </c>
      <c r="L196" s="13">
        <f t="shared" si="46"/>
        <v>800</v>
      </c>
      <c r="N196" s="13">
        <f t="shared" si="52"/>
        <v>5248</v>
      </c>
      <c r="P196" s="13">
        <f t="shared" si="42"/>
        <v>11298</v>
      </c>
      <c r="Q196" s="12">
        <f t="shared" si="43"/>
        <v>600</v>
      </c>
      <c r="R196" s="12">
        <f t="shared" si="49"/>
        <v>198</v>
      </c>
      <c r="S196" s="21">
        <v>0</v>
      </c>
      <c r="T196" s="28">
        <v>0</v>
      </c>
      <c r="U196" s="13">
        <f t="shared" si="47"/>
        <v>798</v>
      </c>
      <c r="V196" s="13">
        <f t="shared" si="50"/>
        <v>10500</v>
      </c>
      <c r="W196" s="11">
        <v>10500</v>
      </c>
      <c r="X196" s="16">
        <f t="shared" si="53"/>
        <v>0</v>
      </c>
    </row>
    <row r="197" spans="1:24" x14ac:dyDescent="0.2">
      <c r="A197" s="10" t="s">
        <v>315</v>
      </c>
      <c r="B197" s="11">
        <f t="shared" si="45"/>
        <v>188</v>
      </c>
      <c r="C197" s="11" t="s">
        <v>526</v>
      </c>
      <c r="D197" s="19" t="s">
        <v>50</v>
      </c>
      <c r="E197" s="11" t="s">
        <v>234</v>
      </c>
      <c r="F197" s="20">
        <v>42887</v>
      </c>
      <c r="G197" s="25">
        <v>30</v>
      </c>
      <c r="H197" s="13">
        <f t="shared" si="48"/>
        <v>5000</v>
      </c>
      <c r="I197" s="13">
        <f t="shared" si="51"/>
        <v>0</v>
      </c>
      <c r="J197" s="13">
        <f t="shared" si="44"/>
        <v>250</v>
      </c>
      <c r="L197" s="13">
        <f t="shared" si="46"/>
        <v>800</v>
      </c>
      <c r="N197" s="13">
        <f t="shared" si="52"/>
        <v>5248</v>
      </c>
      <c r="P197" s="13">
        <f t="shared" si="42"/>
        <v>11298</v>
      </c>
      <c r="Q197" s="12">
        <f t="shared" si="43"/>
        <v>600</v>
      </c>
      <c r="R197" s="12">
        <f t="shared" si="49"/>
        <v>198</v>
      </c>
      <c r="S197" s="21">
        <v>0</v>
      </c>
      <c r="T197" s="28">
        <v>0</v>
      </c>
      <c r="U197" s="13">
        <f t="shared" si="47"/>
        <v>798</v>
      </c>
      <c r="V197" s="13">
        <f t="shared" si="50"/>
        <v>10500</v>
      </c>
      <c r="W197" s="11">
        <v>10500</v>
      </c>
      <c r="X197" s="16">
        <f t="shared" si="53"/>
        <v>0</v>
      </c>
    </row>
    <row r="198" spans="1:24" x14ac:dyDescent="0.2">
      <c r="A198" s="10" t="s">
        <v>315</v>
      </c>
      <c r="B198" s="11">
        <f t="shared" si="45"/>
        <v>189</v>
      </c>
      <c r="C198" s="11" t="s">
        <v>527</v>
      </c>
      <c r="D198" s="19" t="s">
        <v>50</v>
      </c>
      <c r="E198" s="11" t="s">
        <v>234</v>
      </c>
      <c r="F198" s="20">
        <v>42888</v>
      </c>
      <c r="G198" s="25">
        <v>30</v>
      </c>
      <c r="H198" s="13">
        <f t="shared" si="48"/>
        <v>5000</v>
      </c>
      <c r="I198" s="13">
        <f t="shared" si="51"/>
        <v>0</v>
      </c>
      <c r="J198" s="13">
        <f t="shared" si="44"/>
        <v>250</v>
      </c>
      <c r="L198" s="13">
        <f t="shared" si="46"/>
        <v>800</v>
      </c>
      <c r="N198" s="13">
        <f t="shared" si="52"/>
        <v>5248</v>
      </c>
      <c r="P198" s="13">
        <f t="shared" ref="P198:P261" si="54">SUM(H198:O198)</f>
        <v>11298</v>
      </c>
      <c r="Q198" s="12">
        <f t="shared" ref="Q198:Q262" si="55">(H198+I198)*12%</f>
        <v>600</v>
      </c>
      <c r="R198" s="12">
        <f t="shared" si="49"/>
        <v>198</v>
      </c>
      <c r="S198" s="21">
        <v>0</v>
      </c>
      <c r="T198" s="28">
        <v>0</v>
      </c>
      <c r="U198" s="13">
        <f t="shared" si="47"/>
        <v>798</v>
      </c>
      <c r="V198" s="13">
        <f t="shared" si="50"/>
        <v>10500</v>
      </c>
      <c r="W198" s="11">
        <v>10500</v>
      </c>
      <c r="X198" s="16">
        <f t="shared" si="53"/>
        <v>0</v>
      </c>
    </row>
    <row r="199" spans="1:24" x14ac:dyDescent="0.2">
      <c r="A199" s="10" t="s">
        <v>315</v>
      </c>
      <c r="B199" s="11">
        <f t="shared" si="45"/>
        <v>190</v>
      </c>
      <c r="C199" s="11" t="s">
        <v>528</v>
      </c>
      <c r="D199" s="19" t="s">
        <v>50</v>
      </c>
      <c r="E199" s="11" t="s">
        <v>234</v>
      </c>
      <c r="F199" s="20">
        <v>42888</v>
      </c>
      <c r="G199" s="25">
        <v>30</v>
      </c>
      <c r="H199" s="13">
        <f t="shared" si="48"/>
        <v>5000</v>
      </c>
      <c r="I199" s="13">
        <f t="shared" si="51"/>
        <v>0</v>
      </c>
      <c r="J199" s="13">
        <f t="shared" ref="J199:J262" si="56">(H199+I199)*5%</f>
        <v>250</v>
      </c>
      <c r="L199" s="13">
        <f t="shared" si="46"/>
        <v>800</v>
      </c>
      <c r="N199" s="13">
        <f t="shared" si="52"/>
        <v>5248</v>
      </c>
      <c r="P199" s="13">
        <f t="shared" si="54"/>
        <v>11298</v>
      </c>
      <c r="Q199" s="12">
        <f t="shared" si="55"/>
        <v>600</v>
      </c>
      <c r="R199" s="12">
        <f t="shared" si="49"/>
        <v>198</v>
      </c>
      <c r="S199" s="21">
        <v>0</v>
      </c>
      <c r="T199" s="28">
        <v>0</v>
      </c>
      <c r="U199" s="13">
        <f t="shared" si="47"/>
        <v>798</v>
      </c>
      <c r="V199" s="13">
        <f t="shared" si="50"/>
        <v>10500</v>
      </c>
      <c r="W199" s="11">
        <v>10500</v>
      </c>
      <c r="X199" s="16">
        <f t="shared" si="53"/>
        <v>0</v>
      </c>
    </row>
    <row r="200" spans="1:24" x14ac:dyDescent="0.2">
      <c r="A200" s="10" t="s">
        <v>315</v>
      </c>
      <c r="B200" s="11">
        <f t="shared" si="45"/>
        <v>191</v>
      </c>
      <c r="C200" s="11" t="s">
        <v>529</v>
      </c>
      <c r="D200" s="19" t="s">
        <v>50</v>
      </c>
      <c r="E200" s="11" t="s">
        <v>234</v>
      </c>
      <c r="F200" s="20">
        <v>42888</v>
      </c>
      <c r="G200" s="25">
        <v>30</v>
      </c>
      <c r="H200" s="13">
        <f t="shared" si="48"/>
        <v>5000</v>
      </c>
      <c r="I200" s="13">
        <f t="shared" si="51"/>
        <v>0</v>
      </c>
      <c r="J200" s="13">
        <f t="shared" si="56"/>
        <v>250</v>
      </c>
      <c r="L200" s="13">
        <f t="shared" si="46"/>
        <v>800</v>
      </c>
      <c r="N200" s="13">
        <f t="shared" si="52"/>
        <v>5248</v>
      </c>
      <c r="P200" s="13">
        <f t="shared" si="54"/>
        <v>11298</v>
      </c>
      <c r="Q200" s="12">
        <f t="shared" si="55"/>
        <v>600</v>
      </c>
      <c r="R200" s="12">
        <f t="shared" si="49"/>
        <v>198</v>
      </c>
      <c r="S200" s="21">
        <v>0</v>
      </c>
      <c r="T200" s="28">
        <v>0</v>
      </c>
      <c r="U200" s="13">
        <f t="shared" si="47"/>
        <v>798</v>
      </c>
      <c r="V200" s="13">
        <f t="shared" si="50"/>
        <v>10500</v>
      </c>
      <c r="W200" s="11">
        <v>10500</v>
      </c>
      <c r="X200" s="16">
        <f t="shared" si="53"/>
        <v>0</v>
      </c>
    </row>
    <row r="201" spans="1:24" x14ac:dyDescent="0.2">
      <c r="A201" s="10" t="s">
        <v>315</v>
      </c>
      <c r="B201" s="11">
        <f t="shared" ref="B201:B262" si="57">B200+1</f>
        <v>192</v>
      </c>
      <c r="C201" s="11" t="s">
        <v>530</v>
      </c>
      <c r="D201" s="19" t="s">
        <v>50</v>
      </c>
      <c r="E201" s="11" t="s">
        <v>234</v>
      </c>
      <c r="F201" s="20">
        <v>42888</v>
      </c>
      <c r="G201" s="25">
        <v>30</v>
      </c>
      <c r="H201" s="13">
        <f t="shared" si="48"/>
        <v>5000</v>
      </c>
      <c r="I201" s="13">
        <f t="shared" si="51"/>
        <v>0</v>
      </c>
      <c r="J201" s="13">
        <f t="shared" si="56"/>
        <v>250</v>
      </c>
      <c r="L201" s="13">
        <f t="shared" si="46"/>
        <v>800</v>
      </c>
      <c r="N201" s="13">
        <f t="shared" si="52"/>
        <v>5248</v>
      </c>
      <c r="P201" s="13">
        <f t="shared" si="54"/>
        <v>11298</v>
      </c>
      <c r="Q201" s="12">
        <f t="shared" si="55"/>
        <v>600</v>
      </c>
      <c r="R201" s="12">
        <f t="shared" si="49"/>
        <v>198</v>
      </c>
      <c r="S201" s="21">
        <v>0</v>
      </c>
      <c r="T201" s="28">
        <v>0</v>
      </c>
      <c r="U201" s="13">
        <f t="shared" si="47"/>
        <v>798</v>
      </c>
      <c r="V201" s="13">
        <f t="shared" si="50"/>
        <v>10500</v>
      </c>
      <c r="W201" s="11">
        <v>10500</v>
      </c>
      <c r="X201" s="16">
        <f t="shared" si="53"/>
        <v>0</v>
      </c>
    </row>
    <row r="202" spans="1:24" x14ac:dyDescent="0.2">
      <c r="A202" s="10" t="s">
        <v>315</v>
      </c>
      <c r="B202" s="11">
        <f t="shared" si="57"/>
        <v>193</v>
      </c>
      <c r="C202" s="11" t="s">
        <v>531</v>
      </c>
      <c r="D202" s="19" t="s">
        <v>50</v>
      </c>
      <c r="E202" s="11" t="s">
        <v>234</v>
      </c>
      <c r="F202" s="20">
        <v>42888</v>
      </c>
      <c r="G202" s="25">
        <v>30</v>
      </c>
      <c r="H202" s="13">
        <f t="shared" si="48"/>
        <v>5000</v>
      </c>
      <c r="I202" s="13">
        <f t="shared" si="51"/>
        <v>0</v>
      </c>
      <c r="J202" s="13">
        <f t="shared" si="56"/>
        <v>250</v>
      </c>
      <c r="L202" s="13">
        <f t="shared" ref="L202:L262" si="58">((800)/G$3)*G202</f>
        <v>800</v>
      </c>
      <c r="N202" s="13">
        <f t="shared" si="52"/>
        <v>5248</v>
      </c>
      <c r="P202" s="13">
        <f t="shared" si="54"/>
        <v>11298</v>
      </c>
      <c r="Q202" s="12">
        <f t="shared" si="55"/>
        <v>600</v>
      </c>
      <c r="R202" s="12">
        <f t="shared" si="49"/>
        <v>198</v>
      </c>
      <c r="S202" s="21">
        <v>0</v>
      </c>
      <c r="T202" s="28">
        <v>0</v>
      </c>
      <c r="U202" s="13">
        <f t="shared" si="47"/>
        <v>798</v>
      </c>
      <c r="V202" s="13">
        <f t="shared" si="50"/>
        <v>10500</v>
      </c>
      <c r="W202" s="11">
        <v>10500</v>
      </c>
      <c r="X202" s="16">
        <f t="shared" si="53"/>
        <v>0</v>
      </c>
    </row>
    <row r="203" spans="1:24" x14ac:dyDescent="0.2">
      <c r="A203" s="10" t="s">
        <v>315</v>
      </c>
      <c r="B203" s="11">
        <f t="shared" si="57"/>
        <v>194</v>
      </c>
      <c r="C203" s="11" t="s">
        <v>532</v>
      </c>
      <c r="D203" s="19" t="s">
        <v>50</v>
      </c>
      <c r="E203" s="11" t="s">
        <v>234</v>
      </c>
      <c r="F203" s="20">
        <v>42894</v>
      </c>
      <c r="G203" s="25">
        <v>30</v>
      </c>
      <c r="H203" s="13">
        <f t="shared" si="48"/>
        <v>5000</v>
      </c>
      <c r="I203" s="13">
        <f t="shared" si="51"/>
        <v>0</v>
      </c>
      <c r="J203" s="13">
        <f t="shared" si="56"/>
        <v>250</v>
      </c>
      <c r="L203" s="13">
        <f t="shared" si="58"/>
        <v>800</v>
      </c>
      <c r="N203" s="13">
        <f t="shared" si="52"/>
        <v>5248</v>
      </c>
      <c r="P203" s="13">
        <f t="shared" si="54"/>
        <v>11298</v>
      </c>
      <c r="Q203" s="12">
        <f t="shared" si="55"/>
        <v>600</v>
      </c>
      <c r="R203" s="12">
        <f t="shared" si="49"/>
        <v>198</v>
      </c>
      <c r="S203" s="21">
        <v>0</v>
      </c>
      <c r="T203" s="28">
        <v>0</v>
      </c>
      <c r="U203" s="13">
        <f t="shared" si="47"/>
        <v>798</v>
      </c>
      <c r="V203" s="13">
        <f t="shared" si="50"/>
        <v>10500</v>
      </c>
      <c r="W203" s="11">
        <v>10500</v>
      </c>
      <c r="X203" s="16">
        <f t="shared" si="53"/>
        <v>0</v>
      </c>
    </row>
    <row r="204" spans="1:24" x14ac:dyDescent="0.2">
      <c r="A204" s="10" t="s">
        <v>315</v>
      </c>
      <c r="B204" s="11">
        <f t="shared" si="57"/>
        <v>195</v>
      </c>
      <c r="C204" s="11" t="s">
        <v>533</v>
      </c>
      <c r="D204" s="19" t="s">
        <v>50</v>
      </c>
      <c r="E204" s="11" t="s">
        <v>234</v>
      </c>
      <c r="F204" s="20">
        <v>42887</v>
      </c>
      <c r="G204" s="25">
        <v>30</v>
      </c>
      <c r="H204" s="13">
        <f t="shared" si="48"/>
        <v>5000</v>
      </c>
      <c r="I204" s="13">
        <f t="shared" si="51"/>
        <v>0</v>
      </c>
      <c r="J204" s="13">
        <f t="shared" si="56"/>
        <v>250</v>
      </c>
      <c r="L204" s="13">
        <f t="shared" si="58"/>
        <v>800</v>
      </c>
      <c r="N204" s="13">
        <f t="shared" si="52"/>
        <v>5248</v>
      </c>
      <c r="P204" s="13">
        <f t="shared" si="54"/>
        <v>11298</v>
      </c>
      <c r="Q204" s="12">
        <f t="shared" si="55"/>
        <v>600</v>
      </c>
      <c r="R204" s="12">
        <f t="shared" si="49"/>
        <v>198</v>
      </c>
      <c r="S204" s="21">
        <v>0</v>
      </c>
      <c r="T204" s="28">
        <v>0</v>
      </c>
      <c r="U204" s="13">
        <f t="shared" si="47"/>
        <v>798</v>
      </c>
      <c r="V204" s="13">
        <f t="shared" si="50"/>
        <v>10500</v>
      </c>
      <c r="W204" s="11">
        <v>10500</v>
      </c>
      <c r="X204" s="16">
        <f t="shared" si="53"/>
        <v>0</v>
      </c>
    </row>
    <row r="205" spans="1:24" x14ac:dyDescent="0.2">
      <c r="A205" s="10"/>
      <c r="C205" s="11" t="s">
        <v>534</v>
      </c>
      <c r="D205" s="19" t="s">
        <v>50</v>
      </c>
      <c r="E205" s="11" t="s">
        <v>234</v>
      </c>
      <c r="F205" s="20">
        <v>42461</v>
      </c>
      <c r="G205" s="25">
        <v>30</v>
      </c>
      <c r="H205" s="13">
        <f t="shared" si="48"/>
        <v>5000</v>
      </c>
      <c r="I205" s="13">
        <f t="shared" si="51"/>
        <v>0</v>
      </c>
      <c r="J205" s="13">
        <f t="shared" si="56"/>
        <v>250</v>
      </c>
      <c r="L205" s="13">
        <f t="shared" si="58"/>
        <v>800</v>
      </c>
      <c r="N205" s="13">
        <f t="shared" ref="N205" si="59">((1950+1441-178+1017+1018)/G$3)*G205</f>
        <v>5248</v>
      </c>
      <c r="P205" s="13">
        <f t="shared" si="54"/>
        <v>11298</v>
      </c>
      <c r="Q205" s="12">
        <f t="shared" si="55"/>
        <v>600</v>
      </c>
      <c r="R205" s="12">
        <f t="shared" si="49"/>
        <v>198</v>
      </c>
      <c r="S205" s="21">
        <v>0</v>
      </c>
      <c r="T205" s="28">
        <v>0</v>
      </c>
      <c r="U205" s="13">
        <f t="shared" si="47"/>
        <v>798</v>
      </c>
      <c r="V205" s="13">
        <f t="shared" si="50"/>
        <v>10500</v>
      </c>
      <c r="W205" s="11">
        <v>10500</v>
      </c>
      <c r="X205" s="16">
        <f t="shared" si="53"/>
        <v>0</v>
      </c>
    </row>
    <row r="206" spans="1:24" x14ac:dyDescent="0.2">
      <c r="A206" s="10" t="s">
        <v>315</v>
      </c>
      <c r="B206" s="11">
        <v>298</v>
      </c>
      <c r="C206" s="11" t="s">
        <v>532</v>
      </c>
      <c r="D206" s="19" t="s">
        <v>50</v>
      </c>
      <c r="E206" s="11" t="s">
        <v>234</v>
      </c>
      <c r="F206" s="20">
        <v>42890</v>
      </c>
      <c r="G206" s="25">
        <v>30</v>
      </c>
      <c r="H206" s="13">
        <f t="shared" si="48"/>
        <v>5000</v>
      </c>
      <c r="I206" s="13">
        <f t="shared" si="51"/>
        <v>0</v>
      </c>
      <c r="J206" s="13">
        <f t="shared" si="56"/>
        <v>250</v>
      </c>
      <c r="L206" s="13">
        <f t="shared" si="58"/>
        <v>800</v>
      </c>
      <c r="N206" s="13">
        <f t="shared" ref="N206:N224" si="60">((1950+1441-178+1017+1018+0)/G$3)*G206</f>
        <v>5248</v>
      </c>
      <c r="P206" s="13">
        <f t="shared" si="54"/>
        <v>11298</v>
      </c>
      <c r="Q206" s="12">
        <f t="shared" si="55"/>
        <v>600</v>
      </c>
      <c r="R206" s="12">
        <f t="shared" si="49"/>
        <v>198</v>
      </c>
      <c r="S206" s="21">
        <v>0</v>
      </c>
      <c r="T206" s="28">
        <v>0</v>
      </c>
      <c r="U206" s="13">
        <f t="shared" si="47"/>
        <v>798</v>
      </c>
      <c r="V206" s="13">
        <f t="shared" si="50"/>
        <v>10500</v>
      </c>
      <c r="W206" s="11">
        <v>10500</v>
      </c>
      <c r="X206" s="16">
        <f t="shared" si="53"/>
        <v>0</v>
      </c>
    </row>
    <row r="207" spans="1:24" x14ac:dyDescent="0.2">
      <c r="A207" s="10" t="s">
        <v>315</v>
      </c>
      <c r="B207" s="11">
        <f t="shared" si="57"/>
        <v>299</v>
      </c>
      <c r="C207" s="11" t="s">
        <v>535</v>
      </c>
      <c r="D207" s="19" t="s">
        <v>50</v>
      </c>
      <c r="E207" s="11" t="s">
        <v>234</v>
      </c>
      <c r="F207" s="20">
        <v>42891</v>
      </c>
      <c r="G207" s="25">
        <v>30</v>
      </c>
      <c r="H207" s="13">
        <f t="shared" si="48"/>
        <v>5000</v>
      </c>
      <c r="I207" s="13">
        <f t="shared" si="51"/>
        <v>0</v>
      </c>
      <c r="J207" s="13">
        <f t="shared" si="56"/>
        <v>250</v>
      </c>
      <c r="L207" s="13">
        <f t="shared" si="58"/>
        <v>800</v>
      </c>
      <c r="N207" s="13">
        <f t="shared" si="60"/>
        <v>5248</v>
      </c>
      <c r="P207" s="13">
        <f t="shared" si="54"/>
        <v>11298</v>
      </c>
      <c r="Q207" s="12">
        <f t="shared" si="55"/>
        <v>600</v>
      </c>
      <c r="R207" s="12">
        <f t="shared" si="49"/>
        <v>198</v>
      </c>
      <c r="S207" s="21">
        <v>0</v>
      </c>
      <c r="T207" s="28">
        <v>0</v>
      </c>
      <c r="U207" s="13">
        <f t="shared" si="47"/>
        <v>798</v>
      </c>
      <c r="V207" s="13">
        <f t="shared" si="50"/>
        <v>10500</v>
      </c>
      <c r="W207" s="11">
        <v>10500</v>
      </c>
      <c r="X207" s="16">
        <f t="shared" si="53"/>
        <v>0</v>
      </c>
    </row>
    <row r="208" spans="1:24" x14ac:dyDescent="0.2">
      <c r="A208" s="10" t="s">
        <v>315</v>
      </c>
      <c r="B208" s="11">
        <f t="shared" si="57"/>
        <v>300</v>
      </c>
      <c r="C208" s="11" t="s">
        <v>536</v>
      </c>
      <c r="D208" s="19" t="s">
        <v>50</v>
      </c>
      <c r="E208" s="11" t="s">
        <v>234</v>
      </c>
      <c r="F208" s="20">
        <v>42915</v>
      </c>
      <c r="G208" s="25">
        <v>30</v>
      </c>
      <c r="H208" s="13">
        <f t="shared" si="48"/>
        <v>5000</v>
      </c>
      <c r="I208" s="13">
        <f t="shared" si="51"/>
        <v>0</v>
      </c>
      <c r="J208" s="13">
        <f t="shared" si="56"/>
        <v>250</v>
      </c>
      <c r="L208" s="13">
        <f t="shared" si="58"/>
        <v>800</v>
      </c>
      <c r="N208" s="13">
        <f t="shared" si="60"/>
        <v>5248</v>
      </c>
      <c r="P208" s="13">
        <f t="shared" si="54"/>
        <v>11298</v>
      </c>
      <c r="Q208" s="12">
        <f t="shared" si="55"/>
        <v>600</v>
      </c>
      <c r="R208" s="12">
        <f t="shared" si="49"/>
        <v>198</v>
      </c>
      <c r="S208" s="21">
        <v>0</v>
      </c>
      <c r="T208" s="28">
        <v>0</v>
      </c>
      <c r="U208" s="13">
        <f t="shared" si="47"/>
        <v>798</v>
      </c>
      <c r="V208" s="13">
        <f t="shared" si="50"/>
        <v>10500</v>
      </c>
      <c r="W208" s="11">
        <v>10500</v>
      </c>
      <c r="X208" s="16">
        <f t="shared" si="53"/>
        <v>0</v>
      </c>
    </row>
    <row r="209" spans="1:24" x14ac:dyDescent="0.2">
      <c r="A209" s="10" t="s">
        <v>315</v>
      </c>
      <c r="B209" s="11">
        <f t="shared" si="57"/>
        <v>301</v>
      </c>
      <c r="C209" s="11" t="s">
        <v>537</v>
      </c>
      <c r="D209" s="19" t="s">
        <v>50</v>
      </c>
      <c r="E209" s="11" t="s">
        <v>234</v>
      </c>
      <c r="F209" s="20">
        <v>42892</v>
      </c>
      <c r="G209" s="25">
        <v>30</v>
      </c>
      <c r="H209" s="13">
        <f t="shared" si="48"/>
        <v>5000</v>
      </c>
      <c r="I209" s="13">
        <f t="shared" si="51"/>
        <v>0</v>
      </c>
      <c r="J209" s="13">
        <f t="shared" si="56"/>
        <v>250</v>
      </c>
      <c r="L209" s="13">
        <f t="shared" si="58"/>
        <v>800</v>
      </c>
      <c r="N209" s="13">
        <f t="shared" si="60"/>
        <v>5248</v>
      </c>
      <c r="P209" s="13">
        <f t="shared" si="54"/>
        <v>11298</v>
      </c>
      <c r="Q209" s="12">
        <f t="shared" si="55"/>
        <v>600</v>
      </c>
      <c r="R209" s="12">
        <f t="shared" si="49"/>
        <v>198</v>
      </c>
      <c r="S209" s="21">
        <v>0</v>
      </c>
      <c r="T209" s="28">
        <v>0</v>
      </c>
      <c r="U209" s="13">
        <f t="shared" si="47"/>
        <v>798</v>
      </c>
      <c r="V209" s="13">
        <f t="shared" si="50"/>
        <v>10500</v>
      </c>
      <c r="W209" s="11">
        <v>10500</v>
      </c>
      <c r="X209" s="16">
        <f t="shared" si="53"/>
        <v>0</v>
      </c>
    </row>
    <row r="210" spans="1:24" x14ac:dyDescent="0.2">
      <c r="A210" s="10" t="s">
        <v>315</v>
      </c>
      <c r="B210" s="11">
        <f t="shared" si="57"/>
        <v>302</v>
      </c>
      <c r="C210" s="11" t="s">
        <v>538</v>
      </c>
      <c r="D210" s="19" t="s">
        <v>50</v>
      </c>
      <c r="E210" s="11" t="s">
        <v>234</v>
      </c>
      <c r="F210" s="20">
        <v>42887</v>
      </c>
      <c r="G210" s="25">
        <v>30</v>
      </c>
      <c r="H210" s="13">
        <f t="shared" si="48"/>
        <v>5000</v>
      </c>
      <c r="I210" s="13">
        <f t="shared" si="51"/>
        <v>0</v>
      </c>
      <c r="J210" s="13">
        <f t="shared" si="56"/>
        <v>250</v>
      </c>
      <c r="L210" s="13">
        <f t="shared" si="58"/>
        <v>800</v>
      </c>
      <c r="N210" s="13">
        <f t="shared" si="60"/>
        <v>5248</v>
      </c>
      <c r="P210" s="13">
        <f t="shared" si="54"/>
        <v>11298</v>
      </c>
      <c r="Q210" s="12">
        <f t="shared" si="55"/>
        <v>600</v>
      </c>
      <c r="R210" s="12">
        <f t="shared" si="49"/>
        <v>198</v>
      </c>
      <c r="S210" s="21">
        <v>0</v>
      </c>
      <c r="T210" s="28">
        <v>0</v>
      </c>
      <c r="U210" s="13">
        <f t="shared" si="47"/>
        <v>798</v>
      </c>
      <c r="V210" s="13">
        <f t="shared" si="50"/>
        <v>10500</v>
      </c>
      <c r="W210" s="11">
        <v>10500</v>
      </c>
      <c r="X210" s="16">
        <f t="shared" si="53"/>
        <v>0</v>
      </c>
    </row>
    <row r="211" spans="1:24" x14ac:dyDescent="0.2">
      <c r="A211" s="10" t="s">
        <v>315</v>
      </c>
      <c r="B211" s="11">
        <f t="shared" si="57"/>
        <v>303</v>
      </c>
      <c r="C211" s="11" t="s">
        <v>214</v>
      </c>
      <c r="D211" s="19" t="s">
        <v>50</v>
      </c>
      <c r="E211" s="11" t="s">
        <v>234</v>
      </c>
      <c r="F211" s="20">
        <v>42894</v>
      </c>
      <c r="G211" s="25">
        <v>30</v>
      </c>
      <c r="H211" s="13">
        <f t="shared" si="48"/>
        <v>5000</v>
      </c>
      <c r="I211" s="13">
        <f t="shared" si="51"/>
        <v>0</v>
      </c>
      <c r="J211" s="13">
        <f t="shared" si="56"/>
        <v>250</v>
      </c>
      <c r="L211" s="13">
        <f t="shared" si="58"/>
        <v>800</v>
      </c>
      <c r="N211" s="13">
        <f t="shared" si="60"/>
        <v>5248</v>
      </c>
      <c r="P211" s="13">
        <f t="shared" si="54"/>
        <v>11298</v>
      </c>
      <c r="Q211" s="12">
        <f t="shared" si="55"/>
        <v>600</v>
      </c>
      <c r="R211" s="12">
        <f t="shared" si="49"/>
        <v>198</v>
      </c>
      <c r="S211" s="21">
        <v>0</v>
      </c>
      <c r="T211" s="28">
        <v>0</v>
      </c>
      <c r="U211" s="13">
        <f t="shared" si="47"/>
        <v>798</v>
      </c>
      <c r="V211" s="13">
        <f t="shared" si="50"/>
        <v>10500</v>
      </c>
      <c r="W211" s="11">
        <v>10500</v>
      </c>
      <c r="X211" s="16">
        <f t="shared" si="53"/>
        <v>0</v>
      </c>
    </row>
    <row r="212" spans="1:24" x14ac:dyDescent="0.2">
      <c r="A212" s="10" t="s">
        <v>315</v>
      </c>
      <c r="B212" s="11">
        <f t="shared" si="57"/>
        <v>304</v>
      </c>
      <c r="C212" s="11" t="s">
        <v>539</v>
      </c>
      <c r="D212" s="19" t="s">
        <v>50</v>
      </c>
      <c r="E212" s="11" t="s">
        <v>234</v>
      </c>
      <c r="F212" s="20">
        <v>42894</v>
      </c>
      <c r="G212" s="25">
        <v>30</v>
      </c>
      <c r="H212" s="13">
        <f t="shared" si="48"/>
        <v>5000</v>
      </c>
      <c r="I212" s="13">
        <f t="shared" si="51"/>
        <v>0</v>
      </c>
      <c r="J212" s="13">
        <f t="shared" si="56"/>
        <v>250</v>
      </c>
      <c r="L212" s="13">
        <f t="shared" si="58"/>
        <v>800</v>
      </c>
      <c r="N212" s="13">
        <f t="shared" si="60"/>
        <v>5248</v>
      </c>
      <c r="P212" s="13">
        <f t="shared" si="54"/>
        <v>11298</v>
      </c>
      <c r="Q212" s="12">
        <f t="shared" si="55"/>
        <v>600</v>
      </c>
      <c r="R212" s="12">
        <f t="shared" si="49"/>
        <v>198</v>
      </c>
      <c r="S212" s="21">
        <v>0</v>
      </c>
      <c r="T212" s="28">
        <v>0</v>
      </c>
      <c r="U212" s="13">
        <f t="shared" si="47"/>
        <v>798</v>
      </c>
      <c r="V212" s="13">
        <f t="shared" si="50"/>
        <v>10500</v>
      </c>
      <c r="W212" s="11">
        <v>10500</v>
      </c>
      <c r="X212" s="16">
        <f t="shared" si="53"/>
        <v>0</v>
      </c>
    </row>
    <row r="213" spans="1:24" x14ac:dyDescent="0.2">
      <c r="A213" s="10" t="s">
        <v>315</v>
      </c>
      <c r="B213" s="11">
        <f t="shared" si="57"/>
        <v>305</v>
      </c>
      <c r="C213" s="11" t="s">
        <v>540</v>
      </c>
      <c r="D213" s="19" t="s">
        <v>50</v>
      </c>
      <c r="E213" s="11" t="s">
        <v>234</v>
      </c>
      <c r="F213" s="20">
        <v>42894</v>
      </c>
      <c r="G213" s="25">
        <v>30</v>
      </c>
      <c r="H213" s="13">
        <f t="shared" si="48"/>
        <v>5000</v>
      </c>
      <c r="I213" s="13">
        <f t="shared" si="51"/>
        <v>0</v>
      </c>
      <c r="J213" s="13">
        <f t="shared" si="56"/>
        <v>250</v>
      </c>
      <c r="L213" s="13">
        <f t="shared" si="58"/>
        <v>800</v>
      </c>
      <c r="N213" s="13">
        <f t="shared" si="60"/>
        <v>5248</v>
      </c>
      <c r="P213" s="13">
        <f t="shared" si="54"/>
        <v>11298</v>
      </c>
      <c r="Q213" s="12">
        <f t="shared" si="55"/>
        <v>600</v>
      </c>
      <c r="R213" s="12">
        <f t="shared" si="49"/>
        <v>198</v>
      </c>
      <c r="S213" s="21">
        <v>0</v>
      </c>
      <c r="T213" s="28">
        <v>0</v>
      </c>
      <c r="U213" s="13">
        <f t="shared" si="47"/>
        <v>798</v>
      </c>
      <c r="V213" s="13">
        <f t="shared" si="50"/>
        <v>10500</v>
      </c>
      <c r="W213" s="11">
        <v>10500</v>
      </c>
      <c r="X213" s="16">
        <f t="shared" si="53"/>
        <v>0</v>
      </c>
    </row>
    <row r="214" spans="1:24" x14ac:dyDescent="0.2">
      <c r="A214" s="10" t="s">
        <v>315</v>
      </c>
      <c r="B214" s="11">
        <f t="shared" si="57"/>
        <v>306</v>
      </c>
      <c r="C214" s="11" t="s">
        <v>541</v>
      </c>
      <c r="D214" s="19" t="s">
        <v>50</v>
      </c>
      <c r="E214" s="11" t="s">
        <v>234</v>
      </c>
      <c r="F214" s="20">
        <v>42887</v>
      </c>
      <c r="G214" s="25">
        <v>30</v>
      </c>
      <c r="H214" s="13">
        <f t="shared" si="48"/>
        <v>5000</v>
      </c>
      <c r="I214" s="13">
        <f t="shared" si="51"/>
        <v>0</v>
      </c>
      <c r="J214" s="13">
        <f t="shared" si="56"/>
        <v>250</v>
      </c>
      <c r="L214" s="13">
        <f t="shared" si="58"/>
        <v>800</v>
      </c>
      <c r="N214" s="13">
        <f t="shared" si="60"/>
        <v>5248</v>
      </c>
      <c r="P214" s="13">
        <f t="shared" si="54"/>
        <v>11298</v>
      </c>
      <c r="Q214" s="12">
        <f t="shared" si="55"/>
        <v>600</v>
      </c>
      <c r="R214" s="12">
        <f t="shared" si="49"/>
        <v>198</v>
      </c>
      <c r="S214" s="21">
        <v>0</v>
      </c>
      <c r="T214" s="28">
        <v>0</v>
      </c>
      <c r="U214" s="13">
        <f t="shared" si="47"/>
        <v>798</v>
      </c>
      <c r="V214" s="13">
        <f t="shared" si="50"/>
        <v>10500</v>
      </c>
      <c r="W214" s="11">
        <v>10500</v>
      </c>
      <c r="X214" s="16">
        <f t="shared" si="53"/>
        <v>0</v>
      </c>
    </row>
    <row r="215" spans="1:24" x14ac:dyDescent="0.2">
      <c r="A215" s="10" t="s">
        <v>315</v>
      </c>
      <c r="B215" s="11">
        <f t="shared" si="57"/>
        <v>307</v>
      </c>
      <c r="C215" s="11" t="s">
        <v>542</v>
      </c>
      <c r="D215" s="19" t="s">
        <v>50</v>
      </c>
      <c r="E215" s="11" t="s">
        <v>234</v>
      </c>
      <c r="F215" s="20">
        <v>42895</v>
      </c>
      <c r="G215" s="25">
        <v>30</v>
      </c>
      <c r="H215" s="13">
        <f t="shared" si="48"/>
        <v>5000</v>
      </c>
      <c r="I215" s="13">
        <f t="shared" si="51"/>
        <v>0</v>
      </c>
      <c r="J215" s="13">
        <f t="shared" si="56"/>
        <v>250</v>
      </c>
      <c r="L215" s="13">
        <f t="shared" si="58"/>
        <v>800</v>
      </c>
      <c r="N215" s="13">
        <f t="shared" si="60"/>
        <v>5248</v>
      </c>
      <c r="P215" s="13">
        <f t="shared" si="54"/>
        <v>11298</v>
      </c>
      <c r="Q215" s="12">
        <f t="shared" si="55"/>
        <v>600</v>
      </c>
      <c r="R215" s="12">
        <f t="shared" si="49"/>
        <v>198</v>
      </c>
      <c r="S215" s="21">
        <v>0</v>
      </c>
      <c r="T215" s="28">
        <v>0</v>
      </c>
      <c r="U215" s="13">
        <f t="shared" ref="U215:U262" si="61">SUM(Q215:T215)</f>
        <v>798</v>
      </c>
      <c r="V215" s="13">
        <f t="shared" si="50"/>
        <v>10500</v>
      </c>
      <c r="W215" s="11">
        <v>10500</v>
      </c>
      <c r="X215" s="16">
        <f t="shared" si="53"/>
        <v>0</v>
      </c>
    </row>
    <row r="216" spans="1:24" x14ac:dyDescent="0.2">
      <c r="A216" s="10" t="s">
        <v>315</v>
      </c>
      <c r="B216" s="11">
        <f t="shared" si="57"/>
        <v>308</v>
      </c>
      <c r="C216" s="11" t="s">
        <v>543</v>
      </c>
      <c r="D216" s="19" t="s">
        <v>50</v>
      </c>
      <c r="E216" s="11" t="s">
        <v>234</v>
      </c>
      <c r="F216" s="20">
        <v>42895</v>
      </c>
      <c r="G216" s="25">
        <v>30</v>
      </c>
      <c r="H216" s="13">
        <f t="shared" si="48"/>
        <v>5000</v>
      </c>
      <c r="I216" s="13">
        <f t="shared" si="51"/>
        <v>0</v>
      </c>
      <c r="J216" s="13">
        <f t="shared" si="56"/>
        <v>250</v>
      </c>
      <c r="L216" s="13">
        <f t="shared" si="58"/>
        <v>800</v>
      </c>
      <c r="N216" s="13">
        <f t="shared" si="60"/>
        <v>5248</v>
      </c>
      <c r="P216" s="13">
        <f t="shared" si="54"/>
        <v>11298</v>
      </c>
      <c r="Q216" s="12">
        <f t="shared" si="55"/>
        <v>600</v>
      </c>
      <c r="R216" s="12">
        <f t="shared" si="49"/>
        <v>198</v>
      </c>
      <c r="S216" s="21">
        <v>0</v>
      </c>
      <c r="T216" s="28">
        <v>0</v>
      </c>
      <c r="U216" s="13">
        <f t="shared" si="61"/>
        <v>798</v>
      </c>
      <c r="V216" s="13">
        <f t="shared" si="50"/>
        <v>10500</v>
      </c>
      <c r="W216" s="11">
        <v>10500</v>
      </c>
      <c r="X216" s="16">
        <f t="shared" si="53"/>
        <v>0</v>
      </c>
    </row>
    <row r="217" spans="1:24" x14ac:dyDescent="0.2">
      <c r="A217" s="10" t="s">
        <v>315</v>
      </c>
      <c r="B217" s="11">
        <f t="shared" si="57"/>
        <v>309</v>
      </c>
      <c r="C217" s="11" t="s">
        <v>544</v>
      </c>
      <c r="D217" s="19" t="s">
        <v>50</v>
      </c>
      <c r="E217" s="11" t="s">
        <v>234</v>
      </c>
      <c r="F217" s="20">
        <v>42895</v>
      </c>
      <c r="G217" s="25">
        <v>30</v>
      </c>
      <c r="H217" s="13">
        <f t="shared" si="48"/>
        <v>5000</v>
      </c>
      <c r="I217" s="13">
        <f t="shared" si="51"/>
        <v>0</v>
      </c>
      <c r="J217" s="13">
        <f t="shared" si="56"/>
        <v>250</v>
      </c>
      <c r="L217" s="13">
        <f t="shared" si="58"/>
        <v>800</v>
      </c>
      <c r="N217" s="13">
        <f t="shared" si="60"/>
        <v>5248</v>
      </c>
      <c r="P217" s="13">
        <f t="shared" si="54"/>
        <v>11298</v>
      </c>
      <c r="Q217" s="12">
        <f t="shared" si="55"/>
        <v>600</v>
      </c>
      <c r="R217" s="12">
        <f t="shared" si="49"/>
        <v>198</v>
      </c>
      <c r="S217" s="21">
        <v>0</v>
      </c>
      <c r="T217" s="28">
        <v>0</v>
      </c>
      <c r="U217" s="13">
        <f t="shared" si="61"/>
        <v>798</v>
      </c>
      <c r="V217" s="13">
        <f t="shared" si="50"/>
        <v>10500</v>
      </c>
      <c r="W217" s="11">
        <v>10500</v>
      </c>
      <c r="X217" s="16">
        <f t="shared" si="53"/>
        <v>0</v>
      </c>
    </row>
    <row r="218" spans="1:24" x14ac:dyDescent="0.2">
      <c r="A218" s="10" t="s">
        <v>315</v>
      </c>
      <c r="B218" s="11">
        <f t="shared" si="57"/>
        <v>310</v>
      </c>
      <c r="C218" s="11" t="s">
        <v>545</v>
      </c>
      <c r="D218" s="19" t="s">
        <v>50</v>
      </c>
      <c r="E218" s="11" t="s">
        <v>234</v>
      </c>
      <c r="F218" s="20">
        <v>42895</v>
      </c>
      <c r="G218" s="25">
        <v>30</v>
      </c>
      <c r="H218" s="13">
        <f t="shared" si="48"/>
        <v>5000</v>
      </c>
      <c r="I218" s="13">
        <f t="shared" si="51"/>
        <v>0</v>
      </c>
      <c r="J218" s="13">
        <f t="shared" si="56"/>
        <v>250</v>
      </c>
      <c r="L218" s="13">
        <f t="shared" si="58"/>
        <v>800</v>
      </c>
      <c r="N218" s="13">
        <f t="shared" si="60"/>
        <v>5248</v>
      </c>
      <c r="P218" s="13">
        <f t="shared" si="54"/>
        <v>11298</v>
      </c>
      <c r="Q218" s="12">
        <f t="shared" si="55"/>
        <v>600</v>
      </c>
      <c r="R218" s="12">
        <f t="shared" si="49"/>
        <v>198</v>
      </c>
      <c r="S218" s="21">
        <v>0</v>
      </c>
      <c r="T218" s="28">
        <v>0</v>
      </c>
      <c r="U218" s="13">
        <f t="shared" si="61"/>
        <v>798</v>
      </c>
      <c r="V218" s="13">
        <f t="shared" si="50"/>
        <v>10500</v>
      </c>
      <c r="W218" s="11">
        <v>10500</v>
      </c>
      <c r="X218" s="16">
        <f t="shared" si="53"/>
        <v>0</v>
      </c>
    </row>
    <row r="219" spans="1:24" x14ac:dyDescent="0.2">
      <c r="A219" s="10" t="s">
        <v>315</v>
      </c>
      <c r="B219" s="11">
        <f t="shared" si="57"/>
        <v>311</v>
      </c>
      <c r="C219" s="11" t="s">
        <v>546</v>
      </c>
      <c r="D219" s="19" t="s">
        <v>50</v>
      </c>
      <c r="E219" s="11" t="s">
        <v>234</v>
      </c>
      <c r="F219" s="20">
        <v>42887</v>
      </c>
      <c r="G219" s="25">
        <v>30</v>
      </c>
      <c r="H219" s="13">
        <f t="shared" si="48"/>
        <v>5000</v>
      </c>
      <c r="I219" s="13">
        <f t="shared" si="51"/>
        <v>0</v>
      </c>
      <c r="J219" s="13">
        <f t="shared" si="56"/>
        <v>250</v>
      </c>
      <c r="L219" s="13">
        <f t="shared" si="58"/>
        <v>800</v>
      </c>
      <c r="N219" s="13">
        <f t="shared" si="60"/>
        <v>5248</v>
      </c>
      <c r="P219" s="13">
        <f t="shared" si="54"/>
        <v>11298</v>
      </c>
      <c r="Q219" s="12">
        <f t="shared" si="55"/>
        <v>600</v>
      </c>
      <c r="R219" s="12">
        <f t="shared" si="49"/>
        <v>198</v>
      </c>
      <c r="S219" s="21">
        <v>0</v>
      </c>
      <c r="T219" s="28">
        <v>0</v>
      </c>
      <c r="U219" s="13">
        <f t="shared" si="61"/>
        <v>798</v>
      </c>
      <c r="V219" s="13">
        <f t="shared" si="50"/>
        <v>10500</v>
      </c>
      <c r="W219" s="11">
        <v>10500</v>
      </c>
      <c r="X219" s="16">
        <f t="shared" si="53"/>
        <v>0</v>
      </c>
    </row>
    <row r="220" spans="1:24" x14ac:dyDescent="0.2">
      <c r="A220" s="10" t="s">
        <v>315</v>
      </c>
      <c r="B220" s="11">
        <f t="shared" si="57"/>
        <v>312</v>
      </c>
      <c r="C220" s="11" t="s">
        <v>547</v>
      </c>
      <c r="D220" s="19" t="s">
        <v>50</v>
      </c>
      <c r="E220" s="11" t="s">
        <v>234</v>
      </c>
      <c r="F220" s="20">
        <v>42887</v>
      </c>
      <c r="G220" s="25">
        <v>30</v>
      </c>
      <c r="H220" s="13">
        <f t="shared" si="48"/>
        <v>5000</v>
      </c>
      <c r="I220" s="13">
        <f t="shared" si="51"/>
        <v>0</v>
      </c>
      <c r="J220" s="13">
        <f t="shared" si="56"/>
        <v>250</v>
      </c>
      <c r="L220" s="13">
        <f t="shared" si="58"/>
        <v>800</v>
      </c>
      <c r="N220" s="13">
        <f t="shared" si="60"/>
        <v>5248</v>
      </c>
      <c r="P220" s="13">
        <f t="shared" si="54"/>
        <v>11298</v>
      </c>
      <c r="Q220" s="12">
        <f t="shared" si="55"/>
        <v>600</v>
      </c>
      <c r="R220" s="12">
        <f t="shared" si="49"/>
        <v>198</v>
      </c>
      <c r="S220" s="21">
        <v>0</v>
      </c>
      <c r="T220" s="28">
        <v>0</v>
      </c>
      <c r="U220" s="13">
        <f t="shared" si="61"/>
        <v>798</v>
      </c>
      <c r="V220" s="13">
        <f t="shared" si="50"/>
        <v>10500</v>
      </c>
      <c r="W220" s="11">
        <v>10500</v>
      </c>
      <c r="X220" s="16">
        <f t="shared" si="53"/>
        <v>0</v>
      </c>
    </row>
    <row r="221" spans="1:24" x14ac:dyDescent="0.2">
      <c r="A221" s="10" t="s">
        <v>315</v>
      </c>
      <c r="B221" s="11">
        <f t="shared" si="57"/>
        <v>313</v>
      </c>
      <c r="C221" s="11" t="s">
        <v>548</v>
      </c>
      <c r="D221" s="19" t="s">
        <v>50</v>
      </c>
      <c r="E221" s="11" t="s">
        <v>234</v>
      </c>
      <c r="F221" s="20">
        <v>42887</v>
      </c>
      <c r="G221" s="25">
        <v>30</v>
      </c>
      <c r="H221" s="13">
        <f t="shared" si="48"/>
        <v>5000</v>
      </c>
      <c r="I221" s="13">
        <f t="shared" si="51"/>
        <v>0</v>
      </c>
      <c r="J221" s="13">
        <f t="shared" si="56"/>
        <v>250</v>
      </c>
      <c r="L221" s="13">
        <f t="shared" si="58"/>
        <v>800</v>
      </c>
      <c r="N221" s="13">
        <f t="shared" si="60"/>
        <v>5248</v>
      </c>
      <c r="P221" s="13">
        <f t="shared" si="54"/>
        <v>11298</v>
      </c>
      <c r="Q221" s="12">
        <f t="shared" si="55"/>
        <v>600</v>
      </c>
      <c r="R221" s="12">
        <f t="shared" si="49"/>
        <v>198</v>
      </c>
      <c r="S221" s="21">
        <v>0</v>
      </c>
      <c r="T221" s="28">
        <v>0</v>
      </c>
      <c r="U221" s="13">
        <f t="shared" si="61"/>
        <v>798</v>
      </c>
      <c r="V221" s="13">
        <f t="shared" si="50"/>
        <v>10500</v>
      </c>
      <c r="W221" s="11">
        <v>10500</v>
      </c>
      <c r="X221" s="16">
        <f t="shared" si="53"/>
        <v>0</v>
      </c>
    </row>
    <row r="222" spans="1:24" x14ac:dyDescent="0.2">
      <c r="A222" s="10" t="s">
        <v>315</v>
      </c>
      <c r="B222" s="11">
        <f t="shared" si="57"/>
        <v>314</v>
      </c>
      <c r="C222" s="11" t="s">
        <v>549</v>
      </c>
      <c r="D222" s="19" t="s">
        <v>50</v>
      </c>
      <c r="E222" s="11" t="s">
        <v>234</v>
      </c>
      <c r="F222" s="20">
        <v>42887</v>
      </c>
      <c r="G222" s="25">
        <v>30</v>
      </c>
      <c r="H222" s="13">
        <f t="shared" si="48"/>
        <v>5000</v>
      </c>
      <c r="I222" s="13">
        <f t="shared" si="51"/>
        <v>0</v>
      </c>
      <c r="J222" s="13">
        <f t="shared" si="56"/>
        <v>250</v>
      </c>
      <c r="L222" s="13">
        <f t="shared" si="58"/>
        <v>800</v>
      </c>
      <c r="N222" s="13">
        <f t="shared" si="60"/>
        <v>5248</v>
      </c>
      <c r="P222" s="13">
        <f t="shared" si="54"/>
        <v>11298</v>
      </c>
      <c r="Q222" s="12">
        <f t="shared" si="55"/>
        <v>600</v>
      </c>
      <c r="R222" s="12">
        <f t="shared" si="49"/>
        <v>198</v>
      </c>
      <c r="S222" s="21">
        <v>0</v>
      </c>
      <c r="T222" s="28">
        <v>0</v>
      </c>
      <c r="U222" s="13">
        <f t="shared" si="61"/>
        <v>798</v>
      </c>
      <c r="V222" s="13">
        <f t="shared" si="50"/>
        <v>10500</v>
      </c>
      <c r="W222" s="11">
        <v>10500</v>
      </c>
      <c r="X222" s="16">
        <f t="shared" si="53"/>
        <v>0</v>
      </c>
    </row>
    <row r="223" spans="1:24" x14ac:dyDescent="0.2">
      <c r="A223" s="10" t="s">
        <v>315</v>
      </c>
      <c r="B223" s="11">
        <f t="shared" si="57"/>
        <v>315</v>
      </c>
      <c r="C223" s="11" t="s">
        <v>550</v>
      </c>
      <c r="D223" s="19" t="s">
        <v>50</v>
      </c>
      <c r="E223" s="11" t="s">
        <v>234</v>
      </c>
      <c r="F223" s="20">
        <v>42887</v>
      </c>
      <c r="G223" s="25">
        <v>30</v>
      </c>
      <c r="H223" s="13">
        <f t="shared" si="48"/>
        <v>5000</v>
      </c>
      <c r="I223" s="13">
        <f t="shared" si="51"/>
        <v>0</v>
      </c>
      <c r="J223" s="13">
        <f t="shared" si="56"/>
        <v>250</v>
      </c>
      <c r="L223" s="13">
        <f t="shared" si="58"/>
        <v>800</v>
      </c>
      <c r="N223" s="13">
        <f t="shared" si="60"/>
        <v>5248</v>
      </c>
      <c r="P223" s="13">
        <f t="shared" si="54"/>
        <v>11298</v>
      </c>
      <c r="Q223" s="12">
        <f t="shared" si="55"/>
        <v>600</v>
      </c>
      <c r="R223" s="12">
        <f t="shared" si="49"/>
        <v>198</v>
      </c>
      <c r="S223" s="21">
        <v>0</v>
      </c>
      <c r="T223" s="28">
        <v>0</v>
      </c>
      <c r="U223" s="13">
        <f t="shared" si="61"/>
        <v>798</v>
      </c>
      <c r="V223" s="13">
        <f t="shared" si="50"/>
        <v>10500</v>
      </c>
      <c r="W223" s="11">
        <v>10500</v>
      </c>
      <c r="X223" s="16">
        <f t="shared" si="53"/>
        <v>0</v>
      </c>
    </row>
    <row r="224" spans="1:24" x14ac:dyDescent="0.2">
      <c r="A224" s="10" t="s">
        <v>315</v>
      </c>
      <c r="B224" s="11">
        <f t="shared" si="57"/>
        <v>316</v>
      </c>
      <c r="C224" s="11" t="s">
        <v>551</v>
      </c>
      <c r="D224" s="19" t="s">
        <v>50</v>
      </c>
      <c r="E224" s="11" t="s">
        <v>238</v>
      </c>
      <c r="F224" s="20">
        <v>42571</v>
      </c>
      <c r="G224" s="25">
        <v>30</v>
      </c>
      <c r="H224" s="13">
        <f t="shared" ref="H224:H262" si="62">(5000/G$3)*G224</f>
        <v>5000</v>
      </c>
      <c r="I224" s="13">
        <f t="shared" si="51"/>
        <v>0</v>
      </c>
      <c r="J224" s="13">
        <f t="shared" si="56"/>
        <v>250</v>
      </c>
      <c r="L224" s="13">
        <f t="shared" si="58"/>
        <v>800</v>
      </c>
      <c r="N224" s="13">
        <f t="shared" si="60"/>
        <v>5248</v>
      </c>
      <c r="P224" s="13">
        <f t="shared" si="54"/>
        <v>11298</v>
      </c>
      <c r="Q224" s="12">
        <f t="shared" si="55"/>
        <v>600</v>
      </c>
      <c r="R224" s="12">
        <f t="shared" ref="R224:R262" si="63">ROUNDUP((P224*1.75%),0)</f>
        <v>198</v>
      </c>
      <c r="S224" s="21">
        <v>0</v>
      </c>
      <c r="T224" s="28">
        <v>0</v>
      </c>
      <c r="U224" s="13">
        <f t="shared" si="61"/>
        <v>798</v>
      </c>
      <c r="V224" s="13">
        <f t="shared" ref="V224:V262" si="64">P224-U224</f>
        <v>10500</v>
      </c>
      <c r="W224" s="11">
        <v>10500</v>
      </c>
      <c r="X224" s="16">
        <f t="shared" si="53"/>
        <v>0</v>
      </c>
    </row>
    <row r="225" spans="1:24" x14ac:dyDescent="0.2">
      <c r="A225" s="10" t="s">
        <v>315</v>
      </c>
      <c r="B225" s="11">
        <f t="shared" si="57"/>
        <v>317</v>
      </c>
      <c r="C225" s="11" t="s">
        <v>552</v>
      </c>
      <c r="D225" s="19" t="s">
        <v>50</v>
      </c>
      <c r="E225" s="11" t="s">
        <v>484</v>
      </c>
      <c r="F225" s="20">
        <v>42887</v>
      </c>
      <c r="G225" s="25">
        <v>30</v>
      </c>
      <c r="H225" s="13">
        <f t="shared" si="62"/>
        <v>5000</v>
      </c>
      <c r="I225" s="13">
        <f t="shared" ref="I225:I262" si="65">((0)/G$3)*G225</f>
        <v>0</v>
      </c>
      <c r="J225" s="13">
        <f t="shared" si="56"/>
        <v>250</v>
      </c>
      <c r="L225" s="13">
        <f t="shared" si="58"/>
        <v>800</v>
      </c>
      <c r="N225" s="13">
        <f t="shared" ref="N225:N248" si="66">((1950+1441-178+1017+0)/G$3)*G225</f>
        <v>4230</v>
      </c>
      <c r="P225" s="13">
        <f t="shared" si="54"/>
        <v>10280</v>
      </c>
      <c r="Q225" s="12">
        <f t="shared" si="55"/>
        <v>600</v>
      </c>
      <c r="R225" s="12">
        <f t="shared" si="63"/>
        <v>180</v>
      </c>
      <c r="S225" s="21">
        <v>0</v>
      </c>
      <c r="T225" s="28">
        <v>0</v>
      </c>
      <c r="U225" s="13">
        <f t="shared" si="61"/>
        <v>780</v>
      </c>
      <c r="V225" s="13">
        <f t="shared" si="64"/>
        <v>9500</v>
      </c>
      <c r="W225" s="11">
        <v>9500</v>
      </c>
      <c r="X225" s="16">
        <f t="shared" si="53"/>
        <v>0</v>
      </c>
    </row>
    <row r="226" spans="1:24" x14ac:dyDescent="0.2">
      <c r="A226" s="10" t="s">
        <v>315</v>
      </c>
      <c r="B226" s="11">
        <f t="shared" si="57"/>
        <v>318</v>
      </c>
      <c r="C226" s="11" t="s">
        <v>553</v>
      </c>
      <c r="D226" s="19" t="s">
        <v>50</v>
      </c>
      <c r="E226" s="11" t="s">
        <v>484</v>
      </c>
      <c r="F226" s="20">
        <v>42887</v>
      </c>
      <c r="G226" s="25">
        <v>30</v>
      </c>
      <c r="H226" s="13">
        <f t="shared" si="62"/>
        <v>5000</v>
      </c>
      <c r="I226" s="13">
        <f t="shared" si="65"/>
        <v>0</v>
      </c>
      <c r="J226" s="13">
        <f t="shared" si="56"/>
        <v>250</v>
      </c>
      <c r="L226" s="13">
        <f t="shared" si="58"/>
        <v>800</v>
      </c>
      <c r="N226" s="13">
        <f t="shared" si="66"/>
        <v>4230</v>
      </c>
      <c r="P226" s="13">
        <f t="shared" si="54"/>
        <v>10280</v>
      </c>
      <c r="Q226" s="12">
        <f t="shared" si="55"/>
        <v>600</v>
      </c>
      <c r="R226" s="12">
        <f t="shared" si="63"/>
        <v>180</v>
      </c>
      <c r="S226" s="21">
        <v>0</v>
      </c>
      <c r="T226" s="28">
        <v>0</v>
      </c>
      <c r="U226" s="13">
        <f t="shared" si="61"/>
        <v>780</v>
      </c>
      <c r="V226" s="13">
        <f t="shared" si="64"/>
        <v>9500</v>
      </c>
      <c r="W226" s="11">
        <v>9500</v>
      </c>
      <c r="X226" s="16">
        <f t="shared" si="53"/>
        <v>0</v>
      </c>
    </row>
    <row r="227" spans="1:24" x14ac:dyDescent="0.2">
      <c r="A227" s="10" t="s">
        <v>315</v>
      </c>
      <c r="B227" s="11">
        <f t="shared" si="57"/>
        <v>319</v>
      </c>
      <c r="C227" s="11" t="s">
        <v>392</v>
      </c>
      <c r="D227" s="19" t="s">
        <v>50</v>
      </c>
      <c r="E227" s="11" t="s">
        <v>484</v>
      </c>
      <c r="F227" s="20">
        <v>42899</v>
      </c>
      <c r="G227" s="25">
        <v>30</v>
      </c>
      <c r="H227" s="13">
        <f t="shared" si="62"/>
        <v>5000</v>
      </c>
      <c r="I227" s="13">
        <f t="shared" si="65"/>
        <v>0</v>
      </c>
      <c r="J227" s="13">
        <f t="shared" si="56"/>
        <v>250</v>
      </c>
      <c r="L227" s="13">
        <f t="shared" si="58"/>
        <v>800</v>
      </c>
      <c r="N227" s="13">
        <f t="shared" si="66"/>
        <v>4230</v>
      </c>
      <c r="P227" s="13">
        <f t="shared" si="54"/>
        <v>10280</v>
      </c>
      <c r="Q227" s="12">
        <f t="shared" si="55"/>
        <v>600</v>
      </c>
      <c r="R227" s="12">
        <f t="shared" si="63"/>
        <v>180</v>
      </c>
      <c r="S227" s="21">
        <v>0</v>
      </c>
      <c r="T227" s="28">
        <v>0</v>
      </c>
      <c r="U227" s="13">
        <f t="shared" si="61"/>
        <v>780</v>
      </c>
      <c r="V227" s="13">
        <f t="shared" si="64"/>
        <v>9500</v>
      </c>
      <c r="W227" s="11">
        <v>9500</v>
      </c>
      <c r="X227" s="16">
        <f t="shared" si="53"/>
        <v>0</v>
      </c>
    </row>
    <row r="228" spans="1:24" x14ac:dyDescent="0.2">
      <c r="A228" s="10" t="s">
        <v>315</v>
      </c>
      <c r="B228" s="11">
        <f t="shared" si="57"/>
        <v>320</v>
      </c>
      <c r="C228" s="11" t="s">
        <v>554</v>
      </c>
      <c r="D228" s="19" t="s">
        <v>50</v>
      </c>
      <c r="E228" s="11" t="s">
        <v>484</v>
      </c>
      <c r="F228" s="20">
        <v>42537</v>
      </c>
      <c r="G228" s="25">
        <v>30</v>
      </c>
      <c r="H228" s="13">
        <f t="shared" si="62"/>
        <v>5000</v>
      </c>
      <c r="I228" s="13">
        <f t="shared" si="65"/>
        <v>0</v>
      </c>
      <c r="J228" s="13">
        <f t="shared" si="56"/>
        <v>250</v>
      </c>
      <c r="L228" s="13">
        <f t="shared" si="58"/>
        <v>800</v>
      </c>
      <c r="N228" s="13">
        <f t="shared" si="66"/>
        <v>4230</v>
      </c>
      <c r="P228" s="13">
        <f t="shared" si="54"/>
        <v>10280</v>
      </c>
      <c r="Q228" s="12">
        <f t="shared" si="55"/>
        <v>600</v>
      </c>
      <c r="R228" s="12">
        <f t="shared" si="63"/>
        <v>180</v>
      </c>
      <c r="S228" s="21">
        <v>0</v>
      </c>
      <c r="T228" s="28">
        <v>0</v>
      </c>
      <c r="U228" s="13">
        <f t="shared" si="61"/>
        <v>780</v>
      </c>
      <c r="V228" s="13">
        <f t="shared" si="64"/>
        <v>9500</v>
      </c>
      <c r="W228" s="11">
        <v>9500</v>
      </c>
      <c r="X228" s="16">
        <f t="shared" si="53"/>
        <v>0</v>
      </c>
    </row>
    <row r="229" spans="1:24" x14ac:dyDescent="0.2">
      <c r="A229" s="10" t="s">
        <v>315</v>
      </c>
      <c r="B229" s="11">
        <f t="shared" si="57"/>
        <v>321</v>
      </c>
      <c r="C229" s="11" t="s">
        <v>555</v>
      </c>
      <c r="D229" s="19" t="s">
        <v>50</v>
      </c>
      <c r="E229" s="11" t="s">
        <v>484</v>
      </c>
      <c r="F229" s="20">
        <v>42900</v>
      </c>
      <c r="G229" s="25">
        <v>30</v>
      </c>
      <c r="H229" s="13">
        <f t="shared" si="62"/>
        <v>5000</v>
      </c>
      <c r="I229" s="13">
        <f t="shared" si="65"/>
        <v>0</v>
      </c>
      <c r="J229" s="13">
        <f t="shared" si="56"/>
        <v>250</v>
      </c>
      <c r="L229" s="13">
        <f t="shared" si="58"/>
        <v>800</v>
      </c>
      <c r="N229" s="13">
        <f t="shared" si="66"/>
        <v>4230</v>
      </c>
      <c r="P229" s="13">
        <f t="shared" si="54"/>
        <v>10280</v>
      </c>
      <c r="Q229" s="12">
        <f t="shared" si="55"/>
        <v>600</v>
      </c>
      <c r="R229" s="12">
        <f t="shared" si="63"/>
        <v>180</v>
      </c>
      <c r="S229" s="21">
        <v>0</v>
      </c>
      <c r="T229" s="28">
        <v>0</v>
      </c>
      <c r="U229" s="13">
        <f t="shared" si="61"/>
        <v>780</v>
      </c>
      <c r="V229" s="13">
        <f t="shared" si="64"/>
        <v>9500</v>
      </c>
      <c r="W229" s="11">
        <v>9500</v>
      </c>
      <c r="X229" s="16">
        <f t="shared" si="53"/>
        <v>0</v>
      </c>
    </row>
    <row r="230" spans="1:24" x14ac:dyDescent="0.2">
      <c r="A230" s="10" t="s">
        <v>585</v>
      </c>
      <c r="B230" s="11">
        <f t="shared" si="57"/>
        <v>322</v>
      </c>
      <c r="C230" s="11" t="s">
        <v>556</v>
      </c>
      <c r="D230" s="19" t="s">
        <v>50</v>
      </c>
      <c r="E230" s="11" t="s">
        <v>484</v>
      </c>
      <c r="F230" s="20">
        <v>42702</v>
      </c>
      <c r="G230" s="25">
        <v>30</v>
      </c>
      <c r="H230" s="13">
        <f t="shared" si="62"/>
        <v>5000</v>
      </c>
      <c r="I230" s="13">
        <f t="shared" si="65"/>
        <v>0</v>
      </c>
      <c r="J230" s="13">
        <f t="shared" si="56"/>
        <v>250</v>
      </c>
      <c r="L230" s="13">
        <f t="shared" si="58"/>
        <v>800</v>
      </c>
      <c r="N230" s="13">
        <f t="shared" si="66"/>
        <v>4230</v>
      </c>
      <c r="P230" s="13">
        <f t="shared" si="54"/>
        <v>10280</v>
      </c>
      <c r="Q230" s="12">
        <f t="shared" si="55"/>
        <v>600</v>
      </c>
      <c r="R230" s="12">
        <f t="shared" si="63"/>
        <v>180</v>
      </c>
      <c r="S230" s="21">
        <v>0</v>
      </c>
      <c r="T230" s="28">
        <v>0</v>
      </c>
      <c r="U230" s="13">
        <f t="shared" si="61"/>
        <v>780</v>
      </c>
      <c r="V230" s="13">
        <f t="shared" si="64"/>
        <v>9500</v>
      </c>
      <c r="W230" s="11">
        <v>9500</v>
      </c>
      <c r="X230" s="16">
        <f t="shared" si="53"/>
        <v>0</v>
      </c>
    </row>
    <row r="231" spans="1:24" x14ac:dyDescent="0.2">
      <c r="A231" s="10" t="s">
        <v>315</v>
      </c>
      <c r="B231" s="11">
        <f t="shared" si="57"/>
        <v>323</v>
      </c>
      <c r="C231" s="11" t="s">
        <v>557</v>
      </c>
      <c r="D231" s="19" t="s">
        <v>50</v>
      </c>
      <c r="E231" s="11" t="s">
        <v>484</v>
      </c>
      <c r="F231" s="20">
        <v>42891</v>
      </c>
      <c r="G231" s="25">
        <v>30</v>
      </c>
      <c r="H231" s="13">
        <f t="shared" si="62"/>
        <v>5000</v>
      </c>
      <c r="I231" s="13">
        <f t="shared" si="65"/>
        <v>0</v>
      </c>
      <c r="J231" s="13">
        <f t="shared" si="56"/>
        <v>250</v>
      </c>
      <c r="L231" s="13">
        <f t="shared" si="58"/>
        <v>800</v>
      </c>
      <c r="N231" s="13">
        <f t="shared" si="66"/>
        <v>4230</v>
      </c>
      <c r="P231" s="13">
        <f t="shared" si="54"/>
        <v>10280</v>
      </c>
      <c r="Q231" s="12">
        <f t="shared" si="55"/>
        <v>600</v>
      </c>
      <c r="R231" s="12">
        <f t="shared" si="63"/>
        <v>180</v>
      </c>
      <c r="S231" s="21">
        <v>0</v>
      </c>
      <c r="T231" s="28">
        <v>0</v>
      </c>
      <c r="U231" s="13">
        <f t="shared" si="61"/>
        <v>780</v>
      </c>
      <c r="V231" s="13">
        <f t="shared" si="64"/>
        <v>9500</v>
      </c>
      <c r="W231" s="11">
        <v>9500</v>
      </c>
      <c r="X231" s="16">
        <f t="shared" si="53"/>
        <v>0</v>
      </c>
    </row>
    <row r="232" spans="1:24" x14ac:dyDescent="0.2">
      <c r="A232" s="10" t="s">
        <v>315</v>
      </c>
      <c r="B232" s="11">
        <f t="shared" si="57"/>
        <v>324</v>
      </c>
      <c r="C232" s="11" t="s">
        <v>558</v>
      </c>
      <c r="D232" s="19" t="s">
        <v>50</v>
      </c>
      <c r="E232" s="11" t="s">
        <v>484</v>
      </c>
      <c r="F232" s="20">
        <v>42892</v>
      </c>
      <c r="G232" s="25">
        <v>30</v>
      </c>
      <c r="H232" s="13">
        <f t="shared" si="62"/>
        <v>5000</v>
      </c>
      <c r="I232" s="13">
        <f t="shared" si="65"/>
        <v>0</v>
      </c>
      <c r="J232" s="13">
        <f t="shared" si="56"/>
        <v>250</v>
      </c>
      <c r="L232" s="13">
        <f t="shared" si="58"/>
        <v>800</v>
      </c>
      <c r="N232" s="13">
        <f t="shared" si="66"/>
        <v>4230</v>
      </c>
      <c r="P232" s="13">
        <f t="shared" si="54"/>
        <v>10280</v>
      </c>
      <c r="Q232" s="12">
        <f t="shared" si="55"/>
        <v>600</v>
      </c>
      <c r="R232" s="12">
        <f t="shared" si="63"/>
        <v>180</v>
      </c>
      <c r="S232" s="21">
        <v>0</v>
      </c>
      <c r="T232" s="28">
        <v>0</v>
      </c>
      <c r="U232" s="13">
        <f t="shared" si="61"/>
        <v>780</v>
      </c>
      <c r="V232" s="13">
        <f t="shared" si="64"/>
        <v>9500</v>
      </c>
      <c r="W232" s="11">
        <v>9500</v>
      </c>
      <c r="X232" s="16">
        <f t="shared" si="53"/>
        <v>0</v>
      </c>
    </row>
    <row r="233" spans="1:24" x14ac:dyDescent="0.2">
      <c r="A233" s="10" t="s">
        <v>315</v>
      </c>
      <c r="B233" s="11">
        <f t="shared" si="57"/>
        <v>325</v>
      </c>
      <c r="C233" s="11" t="s">
        <v>559</v>
      </c>
      <c r="D233" s="19" t="s">
        <v>50</v>
      </c>
      <c r="E233" s="11" t="s">
        <v>484</v>
      </c>
      <c r="F233" s="20">
        <v>42892</v>
      </c>
      <c r="G233" s="25">
        <v>30</v>
      </c>
      <c r="H233" s="13">
        <f t="shared" si="62"/>
        <v>5000</v>
      </c>
      <c r="I233" s="13">
        <f t="shared" si="65"/>
        <v>0</v>
      </c>
      <c r="J233" s="13">
        <f t="shared" si="56"/>
        <v>250</v>
      </c>
      <c r="L233" s="13">
        <f t="shared" si="58"/>
        <v>800</v>
      </c>
      <c r="N233" s="13">
        <f t="shared" si="66"/>
        <v>4230</v>
      </c>
      <c r="P233" s="13">
        <f t="shared" si="54"/>
        <v>10280</v>
      </c>
      <c r="Q233" s="12">
        <f t="shared" si="55"/>
        <v>600</v>
      </c>
      <c r="R233" s="12">
        <f t="shared" si="63"/>
        <v>180</v>
      </c>
      <c r="S233" s="21">
        <v>0</v>
      </c>
      <c r="T233" s="28">
        <v>0</v>
      </c>
      <c r="U233" s="13">
        <f t="shared" si="61"/>
        <v>780</v>
      </c>
      <c r="V233" s="13">
        <f t="shared" si="64"/>
        <v>9500</v>
      </c>
      <c r="W233" s="11">
        <v>9500</v>
      </c>
      <c r="X233" s="16">
        <f t="shared" si="53"/>
        <v>0</v>
      </c>
    </row>
    <row r="234" spans="1:24" x14ac:dyDescent="0.2">
      <c r="A234" s="10" t="s">
        <v>315</v>
      </c>
      <c r="B234" s="11">
        <f t="shared" si="57"/>
        <v>326</v>
      </c>
      <c r="C234" s="11" t="s">
        <v>560</v>
      </c>
      <c r="D234" s="19" t="s">
        <v>50</v>
      </c>
      <c r="E234" s="11" t="s">
        <v>232</v>
      </c>
      <c r="F234" s="20">
        <v>42895</v>
      </c>
      <c r="G234" s="25">
        <v>30</v>
      </c>
      <c r="H234" s="13">
        <f t="shared" si="62"/>
        <v>5000</v>
      </c>
      <c r="I234" s="13">
        <f t="shared" si="65"/>
        <v>0</v>
      </c>
      <c r="J234" s="13">
        <f t="shared" si="56"/>
        <v>250</v>
      </c>
      <c r="L234" s="13">
        <f t="shared" si="58"/>
        <v>800</v>
      </c>
      <c r="N234" s="13">
        <f t="shared" si="66"/>
        <v>4230</v>
      </c>
      <c r="P234" s="13">
        <f t="shared" si="54"/>
        <v>10280</v>
      </c>
      <c r="Q234" s="12">
        <f t="shared" si="55"/>
        <v>600</v>
      </c>
      <c r="R234" s="12">
        <f t="shared" si="63"/>
        <v>180</v>
      </c>
      <c r="S234" s="21">
        <v>0</v>
      </c>
      <c r="T234" s="28">
        <v>0</v>
      </c>
      <c r="U234" s="13">
        <f t="shared" si="61"/>
        <v>780</v>
      </c>
      <c r="V234" s="13">
        <f t="shared" si="64"/>
        <v>9500</v>
      </c>
      <c r="W234" s="11">
        <v>9500</v>
      </c>
      <c r="X234" s="16">
        <f t="shared" si="53"/>
        <v>0</v>
      </c>
    </row>
    <row r="235" spans="1:24" x14ac:dyDescent="0.2">
      <c r="A235" s="10" t="s">
        <v>315</v>
      </c>
      <c r="B235" s="11">
        <f t="shared" si="57"/>
        <v>327</v>
      </c>
      <c r="C235" s="11" t="s">
        <v>561</v>
      </c>
      <c r="D235" s="19" t="s">
        <v>50</v>
      </c>
      <c r="E235" s="11" t="s">
        <v>484</v>
      </c>
      <c r="F235" s="20">
        <v>42896</v>
      </c>
      <c r="G235" s="25">
        <v>30</v>
      </c>
      <c r="H235" s="13">
        <f t="shared" si="62"/>
        <v>5000</v>
      </c>
      <c r="I235" s="13">
        <f t="shared" si="65"/>
        <v>0</v>
      </c>
      <c r="J235" s="13">
        <f t="shared" si="56"/>
        <v>250</v>
      </c>
      <c r="L235" s="13">
        <f t="shared" si="58"/>
        <v>800</v>
      </c>
      <c r="N235" s="13">
        <f t="shared" si="66"/>
        <v>4230</v>
      </c>
      <c r="P235" s="13">
        <f t="shared" si="54"/>
        <v>10280</v>
      </c>
      <c r="Q235" s="12">
        <f t="shared" si="55"/>
        <v>600</v>
      </c>
      <c r="R235" s="12">
        <f t="shared" si="63"/>
        <v>180</v>
      </c>
      <c r="S235" s="21">
        <v>0</v>
      </c>
      <c r="T235" s="28">
        <v>0</v>
      </c>
      <c r="U235" s="13">
        <f t="shared" si="61"/>
        <v>780</v>
      </c>
      <c r="V235" s="13">
        <f t="shared" si="64"/>
        <v>9500</v>
      </c>
      <c r="W235" s="11">
        <v>9500</v>
      </c>
      <c r="X235" s="16">
        <f t="shared" si="53"/>
        <v>0</v>
      </c>
    </row>
    <row r="236" spans="1:24" x14ac:dyDescent="0.2">
      <c r="A236" s="10" t="s">
        <v>315</v>
      </c>
      <c r="B236" s="11">
        <f t="shared" si="57"/>
        <v>328</v>
      </c>
      <c r="C236" s="11" t="s">
        <v>562</v>
      </c>
      <c r="D236" s="19" t="s">
        <v>50</v>
      </c>
      <c r="E236" s="11" t="s">
        <v>484</v>
      </c>
      <c r="F236" s="20">
        <v>42888</v>
      </c>
      <c r="G236" s="25">
        <v>30</v>
      </c>
      <c r="H236" s="13">
        <f t="shared" si="62"/>
        <v>5000</v>
      </c>
      <c r="I236" s="13">
        <f t="shared" si="65"/>
        <v>0</v>
      </c>
      <c r="J236" s="13">
        <f t="shared" si="56"/>
        <v>250</v>
      </c>
      <c r="L236" s="13">
        <f t="shared" si="58"/>
        <v>800</v>
      </c>
      <c r="N236" s="13">
        <f t="shared" si="66"/>
        <v>4230</v>
      </c>
      <c r="P236" s="13">
        <f t="shared" si="54"/>
        <v>10280</v>
      </c>
      <c r="Q236" s="12">
        <f t="shared" si="55"/>
        <v>600</v>
      </c>
      <c r="R236" s="12">
        <f t="shared" si="63"/>
        <v>180</v>
      </c>
      <c r="S236" s="21">
        <v>0</v>
      </c>
      <c r="T236" s="28">
        <v>0</v>
      </c>
      <c r="U236" s="13">
        <f t="shared" si="61"/>
        <v>780</v>
      </c>
      <c r="V236" s="13">
        <f t="shared" si="64"/>
        <v>9500</v>
      </c>
      <c r="W236" s="11">
        <v>9500</v>
      </c>
      <c r="X236" s="16">
        <f t="shared" si="53"/>
        <v>0</v>
      </c>
    </row>
    <row r="237" spans="1:24" x14ac:dyDescent="0.2">
      <c r="A237" s="10" t="s">
        <v>315</v>
      </c>
      <c r="B237" s="11">
        <f t="shared" si="57"/>
        <v>329</v>
      </c>
      <c r="C237" s="11" t="s">
        <v>563</v>
      </c>
      <c r="D237" s="19" t="s">
        <v>50</v>
      </c>
      <c r="E237" s="11" t="s">
        <v>484</v>
      </c>
      <c r="F237" s="20">
        <v>42887</v>
      </c>
      <c r="G237" s="25">
        <v>30</v>
      </c>
      <c r="H237" s="13">
        <f t="shared" si="62"/>
        <v>5000</v>
      </c>
      <c r="I237" s="13">
        <f t="shared" si="65"/>
        <v>0</v>
      </c>
      <c r="J237" s="13">
        <f t="shared" si="56"/>
        <v>250</v>
      </c>
      <c r="L237" s="13">
        <f t="shared" si="58"/>
        <v>800</v>
      </c>
      <c r="N237" s="13">
        <f t="shared" si="66"/>
        <v>4230</v>
      </c>
      <c r="P237" s="13">
        <f t="shared" si="54"/>
        <v>10280</v>
      </c>
      <c r="Q237" s="12">
        <f t="shared" si="55"/>
        <v>600</v>
      </c>
      <c r="R237" s="12">
        <f t="shared" si="63"/>
        <v>180</v>
      </c>
      <c r="S237" s="21">
        <v>0</v>
      </c>
      <c r="T237" s="28">
        <v>0</v>
      </c>
      <c r="U237" s="13">
        <f t="shared" si="61"/>
        <v>780</v>
      </c>
      <c r="V237" s="13">
        <f t="shared" si="64"/>
        <v>9500</v>
      </c>
      <c r="W237" s="11">
        <v>9500</v>
      </c>
      <c r="X237" s="16">
        <f t="shared" si="53"/>
        <v>0</v>
      </c>
    </row>
    <row r="238" spans="1:24" x14ac:dyDescent="0.2">
      <c r="A238" s="10" t="s">
        <v>315</v>
      </c>
      <c r="B238" s="11">
        <f t="shared" si="57"/>
        <v>330</v>
      </c>
      <c r="C238" s="11" t="s">
        <v>502</v>
      </c>
      <c r="D238" s="19" t="s">
        <v>50</v>
      </c>
      <c r="E238" s="11" t="s">
        <v>484</v>
      </c>
      <c r="F238" s="20">
        <v>42888</v>
      </c>
      <c r="G238" s="25">
        <v>30</v>
      </c>
      <c r="H238" s="13">
        <f t="shared" si="62"/>
        <v>5000</v>
      </c>
      <c r="I238" s="13">
        <f t="shared" si="65"/>
        <v>0</v>
      </c>
      <c r="J238" s="13">
        <f t="shared" si="56"/>
        <v>250</v>
      </c>
      <c r="L238" s="13">
        <f t="shared" si="58"/>
        <v>800</v>
      </c>
      <c r="N238" s="13">
        <f t="shared" si="66"/>
        <v>4230</v>
      </c>
      <c r="P238" s="13">
        <f t="shared" si="54"/>
        <v>10280</v>
      </c>
      <c r="Q238" s="12">
        <f t="shared" si="55"/>
        <v>600</v>
      </c>
      <c r="R238" s="12">
        <f t="shared" si="63"/>
        <v>180</v>
      </c>
      <c r="S238" s="21">
        <v>0</v>
      </c>
      <c r="T238" s="28">
        <v>0</v>
      </c>
      <c r="U238" s="13">
        <f t="shared" si="61"/>
        <v>780</v>
      </c>
      <c r="V238" s="13">
        <f t="shared" si="64"/>
        <v>9500</v>
      </c>
      <c r="W238" s="11">
        <v>9500</v>
      </c>
      <c r="X238" s="16">
        <f t="shared" si="53"/>
        <v>0</v>
      </c>
    </row>
    <row r="239" spans="1:24" x14ac:dyDescent="0.2">
      <c r="A239" s="10" t="s">
        <v>315</v>
      </c>
      <c r="B239" s="11">
        <f t="shared" si="57"/>
        <v>331</v>
      </c>
      <c r="C239" s="11" t="s">
        <v>564</v>
      </c>
      <c r="D239" s="19" t="s">
        <v>50</v>
      </c>
      <c r="E239" s="11" t="s">
        <v>484</v>
      </c>
      <c r="F239" s="20">
        <v>42888</v>
      </c>
      <c r="G239" s="25">
        <v>30</v>
      </c>
      <c r="H239" s="13">
        <f t="shared" si="62"/>
        <v>5000</v>
      </c>
      <c r="I239" s="13">
        <f t="shared" si="65"/>
        <v>0</v>
      </c>
      <c r="J239" s="13">
        <f t="shared" si="56"/>
        <v>250</v>
      </c>
      <c r="L239" s="13">
        <f t="shared" si="58"/>
        <v>800</v>
      </c>
      <c r="N239" s="13">
        <f t="shared" si="66"/>
        <v>4230</v>
      </c>
      <c r="P239" s="13">
        <f t="shared" si="54"/>
        <v>10280</v>
      </c>
      <c r="Q239" s="12">
        <f t="shared" si="55"/>
        <v>600</v>
      </c>
      <c r="R239" s="12">
        <f t="shared" si="63"/>
        <v>180</v>
      </c>
      <c r="S239" s="21">
        <v>0</v>
      </c>
      <c r="T239" s="28">
        <v>0</v>
      </c>
      <c r="U239" s="13">
        <f t="shared" si="61"/>
        <v>780</v>
      </c>
      <c r="V239" s="13">
        <f t="shared" si="64"/>
        <v>9500</v>
      </c>
      <c r="W239" s="11">
        <v>9500</v>
      </c>
      <c r="X239" s="16">
        <f t="shared" si="53"/>
        <v>0</v>
      </c>
    </row>
    <row r="240" spans="1:24" x14ac:dyDescent="0.2">
      <c r="A240" s="10" t="s">
        <v>315</v>
      </c>
      <c r="B240" s="11">
        <f t="shared" si="57"/>
        <v>332</v>
      </c>
      <c r="C240" s="11" t="s">
        <v>565</v>
      </c>
      <c r="D240" s="19" t="s">
        <v>50</v>
      </c>
      <c r="E240" s="11" t="s">
        <v>484</v>
      </c>
      <c r="F240" s="20">
        <v>42888</v>
      </c>
      <c r="G240" s="25">
        <v>30</v>
      </c>
      <c r="H240" s="13">
        <f t="shared" si="62"/>
        <v>5000</v>
      </c>
      <c r="I240" s="13">
        <f t="shared" si="65"/>
        <v>0</v>
      </c>
      <c r="J240" s="13">
        <f t="shared" si="56"/>
        <v>250</v>
      </c>
      <c r="L240" s="13">
        <f t="shared" si="58"/>
        <v>800</v>
      </c>
      <c r="N240" s="13">
        <f t="shared" si="66"/>
        <v>4230</v>
      </c>
      <c r="P240" s="13">
        <f t="shared" si="54"/>
        <v>10280</v>
      </c>
      <c r="Q240" s="12">
        <f t="shared" si="55"/>
        <v>600</v>
      </c>
      <c r="R240" s="12">
        <f t="shared" si="63"/>
        <v>180</v>
      </c>
      <c r="S240" s="21">
        <v>0</v>
      </c>
      <c r="T240" s="28">
        <v>0</v>
      </c>
      <c r="U240" s="13">
        <f t="shared" si="61"/>
        <v>780</v>
      </c>
      <c r="V240" s="13">
        <f t="shared" si="64"/>
        <v>9500</v>
      </c>
      <c r="W240" s="11">
        <v>9500</v>
      </c>
      <c r="X240" s="16">
        <f t="shared" si="53"/>
        <v>0</v>
      </c>
    </row>
    <row r="241" spans="1:24" x14ac:dyDescent="0.2">
      <c r="A241" s="10" t="s">
        <v>315</v>
      </c>
      <c r="B241" s="11">
        <f t="shared" si="57"/>
        <v>333</v>
      </c>
      <c r="C241" s="11" t="s">
        <v>566</v>
      </c>
      <c r="D241" s="19" t="s">
        <v>50</v>
      </c>
      <c r="E241" s="11" t="s">
        <v>484</v>
      </c>
      <c r="F241" s="20">
        <v>42893</v>
      </c>
      <c r="G241" s="25">
        <v>30</v>
      </c>
      <c r="H241" s="13">
        <f t="shared" si="62"/>
        <v>5000</v>
      </c>
      <c r="I241" s="13">
        <f t="shared" si="65"/>
        <v>0</v>
      </c>
      <c r="J241" s="13">
        <f t="shared" si="56"/>
        <v>250</v>
      </c>
      <c r="L241" s="13">
        <f t="shared" si="58"/>
        <v>800</v>
      </c>
      <c r="N241" s="13">
        <f t="shared" si="66"/>
        <v>4230</v>
      </c>
      <c r="P241" s="13">
        <f t="shared" si="54"/>
        <v>10280</v>
      </c>
      <c r="Q241" s="12">
        <f t="shared" si="55"/>
        <v>600</v>
      </c>
      <c r="R241" s="12">
        <f t="shared" si="63"/>
        <v>180</v>
      </c>
      <c r="S241" s="21">
        <v>0</v>
      </c>
      <c r="T241" s="28">
        <v>0</v>
      </c>
      <c r="U241" s="13">
        <f t="shared" si="61"/>
        <v>780</v>
      </c>
      <c r="V241" s="13">
        <f t="shared" si="64"/>
        <v>9500</v>
      </c>
      <c r="W241" s="11">
        <v>9500</v>
      </c>
      <c r="X241" s="16">
        <f t="shared" si="53"/>
        <v>0</v>
      </c>
    </row>
    <row r="242" spans="1:24" x14ac:dyDescent="0.2">
      <c r="A242" s="10" t="s">
        <v>315</v>
      </c>
      <c r="B242" s="11">
        <f t="shared" si="57"/>
        <v>334</v>
      </c>
      <c r="C242" s="11" t="s">
        <v>567</v>
      </c>
      <c r="D242" s="19" t="s">
        <v>50</v>
      </c>
      <c r="E242" s="11" t="s">
        <v>484</v>
      </c>
      <c r="F242" s="20">
        <v>42887</v>
      </c>
      <c r="G242" s="25">
        <v>30</v>
      </c>
      <c r="H242" s="13">
        <f t="shared" si="62"/>
        <v>5000</v>
      </c>
      <c r="I242" s="13">
        <f t="shared" si="65"/>
        <v>0</v>
      </c>
      <c r="J242" s="13">
        <f t="shared" si="56"/>
        <v>250</v>
      </c>
      <c r="L242" s="13">
        <f t="shared" si="58"/>
        <v>800</v>
      </c>
      <c r="N242" s="13">
        <f t="shared" si="66"/>
        <v>4230</v>
      </c>
      <c r="P242" s="13">
        <f t="shared" si="54"/>
        <v>10280</v>
      </c>
      <c r="Q242" s="12">
        <f t="shared" si="55"/>
        <v>600</v>
      </c>
      <c r="R242" s="12">
        <f t="shared" si="63"/>
        <v>180</v>
      </c>
      <c r="S242" s="21">
        <v>0</v>
      </c>
      <c r="T242" s="28">
        <v>0</v>
      </c>
      <c r="U242" s="13">
        <f t="shared" si="61"/>
        <v>780</v>
      </c>
      <c r="V242" s="13">
        <f t="shared" si="64"/>
        <v>9500</v>
      </c>
      <c r="W242" s="11">
        <v>9500</v>
      </c>
      <c r="X242" s="16">
        <f t="shared" si="53"/>
        <v>0</v>
      </c>
    </row>
    <row r="243" spans="1:24" x14ac:dyDescent="0.2">
      <c r="A243" s="10" t="s">
        <v>315</v>
      </c>
      <c r="B243" s="11">
        <f t="shared" si="57"/>
        <v>335</v>
      </c>
      <c r="C243" s="11" t="s">
        <v>568</v>
      </c>
      <c r="D243" s="19" t="s">
        <v>50</v>
      </c>
      <c r="E243" s="11" t="s">
        <v>484</v>
      </c>
      <c r="F243" s="20">
        <v>42891</v>
      </c>
      <c r="G243" s="25">
        <v>30</v>
      </c>
      <c r="H243" s="13">
        <f t="shared" si="62"/>
        <v>5000</v>
      </c>
      <c r="I243" s="13">
        <f t="shared" si="65"/>
        <v>0</v>
      </c>
      <c r="J243" s="13">
        <f t="shared" si="56"/>
        <v>250</v>
      </c>
      <c r="L243" s="13">
        <f t="shared" si="58"/>
        <v>800</v>
      </c>
      <c r="N243" s="13">
        <f t="shared" si="66"/>
        <v>4230</v>
      </c>
      <c r="P243" s="13">
        <f t="shared" si="54"/>
        <v>10280</v>
      </c>
      <c r="Q243" s="12">
        <f t="shared" si="55"/>
        <v>600</v>
      </c>
      <c r="R243" s="12">
        <f t="shared" si="63"/>
        <v>180</v>
      </c>
      <c r="S243" s="21">
        <v>0</v>
      </c>
      <c r="T243" s="28">
        <v>0</v>
      </c>
      <c r="U243" s="13">
        <f t="shared" si="61"/>
        <v>780</v>
      </c>
      <c r="V243" s="13">
        <f t="shared" si="64"/>
        <v>9500</v>
      </c>
      <c r="W243" s="11">
        <v>9500</v>
      </c>
      <c r="X243" s="16">
        <f t="shared" si="53"/>
        <v>0</v>
      </c>
    </row>
    <row r="244" spans="1:24" s="32" customFormat="1" x14ac:dyDescent="0.2">
      <c r="A244" s="33" t="s">
        <v>315</v>
      </c>
      <c r="B244" s="32">
        <f t="shared" si="57"/>
        <v>336</v>
      </c>
      <c r="C244" s="32" t="s">
        <v>519</v>
      </c>
      <c r="D244" s="34" t="s">
        <v>50</v>
      </c>
      <c r="E244" s="32" t="s">
        <v>484</v>
      </c>
      <c r="F244" s="35">
        <v>42892</v>
      </c>
      <c r="G244" s="32">
        <v>30</v>
      </c>
      <c r="H244" s="36">
        <f t="shared" si="62"/>
        <v>5000</v>
      </c>
      <c r="I244" s="36">
        <f t="shared" si="65"/>
        <v>0</v>
      </c>
      <c r="J244" s="36">
        <f t="shared" si="56"/>
        <v>250</v>
      </c>
      <c r="K244" s="36"/>
      <c r="L244" s="36">
        <f t="shared" si="58"/>
        <v>800</v>
      </c>
      <c r="M244" s="36"/>
      <c r="N244" s="36">
        <f t="shared" si="66"/>
        <v>4230</v>
      </c>
      <c r="O244" s="36"/>
      <c r="P244" s="36">
        <f t="shared" si="54"/>
        <v>10280</v>
      </c>
      <c r="Q244" s="37">
        <f t="shared" si="55"/>
        <v>600</v>
      </c>
      <c r="R244" s="37">
        <f t="shared" si="63"/>
        <v>180</v>
      </c>
      <c r="S244" s="38">
        <v>0</v>
      </c>
      <c r="T244" s="36">
        <v>0</v>
      </c>
      <c r="U244" s="36">
        <f t="shared" si="61"/>
        <v>780</v>
      </c>
      <c r="V244" s="36">
        <f t="shared" si="64"/>
        <v>9500</v>
      </c>
      <c r="W244" s="11">
        <v>9500</v>
      </c>
      <c r="X244" s="39">
        <f t="shared" si="53"/>
        <v>0</v>
      </c>
    </row>
    <row r="245" spans="1:24" x14ac:dyDescent="0.2">
      <c r="A245" s="10" t="s">
        <v>315</v>
      </c>
      <c r="B245" s="11">
        <f t="shared" si="57"/>
        <v>337</v>
      </c>
      <c r="C245" s="11" t="s">
        <v>569</v>
      </c>
      <c r="D245" s="19" t="s">
        <v>50</v>
      </c>
      <c r="E245" s="11" t="s">
        <v>484</v>
      </c>
      <c r="F245" s="20">
        <v>42892</v>
      </c>
      <c r="G245" s="25">
        <v>30</v>
      </c>
      <c r="H245" s="13">
        <f t="shared" si="62"/>
        <v>5000</v>
      </c>
      <c r="I245" s="13">
        <f t="shared" si="65"/>
        <v>0</v>
      </c>
      <c r="J245" s="13">
        <f t="shared" si="56"/>
        <v>250</v>
      </c>
      <c r="L245" s="13">
        <f t="shared" si="58"/>
        <v>800</v>
      </c>
      <c r="N245" s="13">
        <f t="shared" si="66"/>
        <v>4230</v>
      </c>
      <c r="P245" s="13">
        <f t="shared" si="54"/>
        <v>10280</v>
      </c>
      <c r="Q245" s="12">
        <f t="shared" si="55"/>
        <v>600</v>
      </c>
      <c r="R245" s="12">
        <f t="shared" si="63"/>
        <v>180</v>
      </c>
      <c r="S245" s="21">
        <v>0</v>
      </c>
      <c r="T245" s="28">
        <v>0</v>
      </c>
      <c r="U245" s="13">
        <f t="shared" si="61"/>
        <v>780</v>
      </c>
      <c r="V245" s="13">
        <f t="shared" si="64"/>
        <v>9500</v>
      </c>
      <c r="W245" s="11">
        <v>9500</v>
      </c>
      <c r="X245" s="16">
        <f t="shared" si="53"/>
        <v>0</v>
      </c>
    </row>
    <row r="246" spans="1:24" x14ac:dyDescent="0.2">
      <c r="A246" s="10" t="s">
        <v>315</v>
      </c>
      <c r="B246" s="11">
        <f t="shared" si="57"/>
        <v>338</v>
      </c>
      <c r="C246" s="11" t="s">
        <v>570</v>
      </c>
      <c r="D246" s="19" t="s">
        <v>50</v>
      </c>
      <c r="E246" s="11" t="s">
        <v>484</v>
      </c>
      <c r="F246" s="20">
        <v>42893</v>
      </c>
      <c r="G246" s="25">
        <v>30</v>
      </c>
      <c r="H246" s="13">
        <f t="shared" si="62"/>
        <v>5000</v>
      </c>
      <c r="I246" s="13">
        <f t="shared" si="65"/>
        <v>0</v>
      </c>
      <c r="J246" s="13">
        <f t="shared" si="56"/>
        <v>250</v>
      </c>
      <c r="L246" s="13">
        <f t="shared" si="58"/>
        <v>800</v>
      </c>
      <c r="N246" s="13">
        <f t="shared" si="66"/>
        <v>4230</v>
      </c>
      <c r="P246" s="13">
        <f t="shared" si="54"/>
        <v>10280</v>
      </c>
      <c r="Q246" s="12">
        <f t="shared" si="55"/>
        <v>600</v>
      </c>
      <c r="R246" s="12">
        <f t="shared" si="63"/>
        <v>180</v>
      </c>
      <c r="S246" s="21">
        <v>0</v>
      </c>
      <c r="T246" s="28">
        <v>0</v>
      </c>
      <c r="U246" s="13">
        <f t="shared" si="61"/>
        <v>780</v>
      </c>
      <c r="V246" s="13">
        <f t="shared" si="64"/>
        <v>9500</v>
      </c>
      <c r="W246" s="11">
        <v>9500</v>
      </c>
      <c r="X246" s="16">
        <f t="shared" si="53"/>
        <v>0</v>
      </c>
    </row>
    <row r="247" spans="1:24" x14ac:dyDescent="0.2">
      <c r="A247" s="10" t="s">
        <v>315</v>
      </c>
      <c r="B247" s="11">
        <f t="shared" si="57"/>
        <v>339</v>
      </c>
      <c r="C247" s="11" t="s">
        <v>571</v>
      </c>
      <c r="D247" s="19" t="s">
        <v>50</v>
      </c>
      <c r="E247" s="11" t="s">
        <v>484</v>
      </c>
      <c r="F247" s="20">
        <v>42530</v>
      </c>
      <c r="G247" s="25">
        <v>30</v>
      </c>
      <c r="H247" s="13">
        <f t="shared" si="62"/>
        <v>5000</v>
      </c>
      <c r="I247" s="13">
        <f t="shared" si="65"/>
        <v>0</v>
      </c>
      <c r="J247" s="13">
        <f t="shared" si="56"/>
        <v>250</v>
      </c>
      <c r="L247" s="13">
        <f t="shared" si="58"/>
        <v>800</v>
      </c>
      <c r="N247" s="13">
        <f t="shared" si="66"/>
        <v>4230</v>
      </c>
      <c r="P247" s="13">
        <f t="shared" si="54"/>
        <v>10280</v>
      </c>
      <c r="Q247" s="12">
        <f t="shared" si="55"/>
        <v>600</v>
      </c>
      <c r="R247" s="12">
        <f t="shared" si="63"/>
        <v>180</v>
      </c>
      <c r="S247" s="21">
        <v>0</v>
      </c>
      <c r="T247" s="28">
        <v>0</v>
      </c>
      <c r="U247" s="13">
        <f t="shared" si="61"/>
        <v>780</v>
      </c>
      <c r="V247" s="13">
        <f t="shared" si="64"/>
        <v>9500</v>
      </c>
      <c r="W247" s="11">
        <v>9500</v>
      </c>
      <c r="X247" s="16">
        <f t="shared" si="53"/>
        <v>0</v>
      </c>
    </row>
    <row r="248" spans="1:24" x14ac:dyDescent="0.2">
      <c r="A248" s="10" t="s">
        <v>315</v>
      </c>
      <c r="B248" s="11">
        <f t="shared" si="57"/>
        <v>340</v>
      </c>
      <c r="C248" s="11" t="s">
        <v>664</v>
      </c>
      <c r="D248" s="19" t="s">
        <v>50</v>
      </c>
      <c r="E248" s="11" t="s">
        <v>237</v>
      </c>
      <c r="F248" s="20">
        <v>42887</v>
      </c>
      <c r="G248" s="25">
        <v>30</v>
      </c>
      <c r="H248" s="13">
        <f t="shared" si="62"/>
        <v>5000</v>
      </c>
      <c r="I248" s="13">
        <f t="shared" si="65"/>
        <v>0</v>
      </c>
      <c r="J248" s="13">
        <f t="shared" si="56"/>
        <v>250</v>
      </c>
      <c r="L248" s="13">
        <f t="shared" si="58"/>
        <v>800</v>
      </c>
      <c r="N248" s="13">
        <f t="shared" si="66"/>
        <v>4230</v>
      </c>
      <c r="P248" s="13">
        <f t="shared" si="54"/>
        <v>10280</v>
      </c>
      <c r="Q248" s="12">
        <f t="shared" si="55"/>
        <v>600</v>
      </c>
      <c r="R248" s="12">
        <f t="shared" si="63"/>
        <v>180</v>
      </c>
      <c r="S248" s="21">
        <v>0</v>
      </c>
      <c r="T248" s="28">
        <v>0</v>
      </c>
      <c r="U248" s="13">
        <f t="shared" si="61"/>
        <v>780</v>
      </c>
      <c r="V248" s="13">
        <f t="shared" si="64"/>
        <v>9500</v>
      </c>
      <c r="W248" s="11">
        <v>9500</v>
      </c>
      <c r="X248" s="16">
        <f t="shared" si="53"/>
        <v>0</v>
      </c>
    </row>
    <row r="249" spans="1:24" x14ac:dyDescent="0.2">
      <c r="A249" s="10" t="s">
        <v>315</v>
      </c>
      <c r="B249" s="11">
        <f t="shared" si="57"/>
        <v>341</v>
      </c>
      <c r="C249" s="11" t="s">
        <v>572</v>
      </c>
      <c r="D249" s="19" t="s">
        <v>50</v>
      </c>
      <c r="E249" s="11" t="s">
        <v>237</v>
      </c>
      <c r="F249" s="20">
        <v>42907</v>
      </c>
      <c r="G249" s="25">
        <v>30</v>
      </c>
      <c r="H249" s="13">
        <f t="shared" si="62"/>
        <v>5000</v>
      </c>
      <c r="I249" s="13">
        <f t="shared" si="65"/>
        <v>0</v>
      </c>
      <c r="J249" s="13">
        <f t="shared" si="56"/>
        <v>250</v>
      </c>
      <c r="L249" s="13">
        <f t="shared" si="58"/>
        <v>800</v>
      </c>
      <c r="N249" s="13">
        <f>((1950+1441-178+1017+1527+0)/G$3)*G249</f>
        <v>5757</v>
      </c>
      <c r="P249" s="13">
        <f t="shared" si="54"/>
        <v>11807</v>
      </c>
      <c r="Q249" s="12">
        <f t="shared" si="55"/>
        <v>600</v>
      </c>
      <c r="R249" s="12">
        <f t="shared" si="63"/>
        <v>207</v>
      </c>
      <c r="S249" s="21">
        <v>0</v>
      </c>
      <c r="T249" s="28">
        <v>0</v>
      </c>
      <c r="U249" s="13">
        <f t="shared" si="61"/>
        <v>807</v>
      </c>
      <c r="V249" s="13">
        <f t="shared" si="64"/>
        <v>11000</v>
      </c>
      <c r="W249" s="11">
        <v>11000</v>
      </c>
      <c r="X249" s="16">
        <f t="shared" si="53"/>
        <v>0</v>
      </c>
    </row>
    <row r="250" spans="1:24" x14ac:dyDescent="0.2">
      <c r="A250" s="10" t="s">
        <v>315</v>
      </c>
      <c r="B250" s="11">
        <f t="shared" si="57"/>
        <v>342</v>
      </c>
      <c r="C250" s="11" t="s">
        <v>665</v>
      </c>
      <c r="D250" s="19" t="s">
        <v>50</v>
      </c>
      <c r="E250" s="11" t="s">
        <v>237</v>
      </c>
      <c r="F250" s="20">
        <v>42887</v>
      </c>
      <c r="G250" s="25">
        <v>30</v>
      </c>
      <c r="H250" s="13">
        <f t="shared" si="62"/>
        <v>5000</v>
      </c>
      <c r="I250" s="13">
        <f t="shared" si="65"/>
        <v>0</v>
      </c>
      <c r="J250" s="13">
        <f t="shared" si="56"/>
        <v>250</v>
      </c>
      <c r="L250" s="13">
        <f t="shared" si="58"/>
        <v>800</v>
      </c>
      <c r="N250" s="13">
        <f>((1950+1441-178+1017+1018+0)/G$3)*G250</f>
        <v>5248</v>
      </c>
      <c r="P250" s="13">
        <f t="shared" si="54"/>
        <v>11298</v>
      </c>
      <c r="Q250" s="12">
        <f t="shared" si="55"/>
        <v>600</v>
      </c>
      <c r="R250" s="12">
        <f t="shared" si="63"/>
        <v>198</v>
      </c>
      <c r="S250" s="21">
        <v>0</v>
      </c>
      <c r="T250" s="28">
        <v>0</v>
      </c>
      <c r="U250" s="13">
        <f t="shared" si="61"/>
        <v>798</v>
      </c>
      <c r="V250" s="13">
        <f t="shared" si="64"/>
        <v>10500</v>
      </c>
      <c r="W250" s="11">
        <v>10500</v>
      </c>
      <c r="X250" s="16">
        <f t="shared" ref="X250:X262" si="67">W250-V250</f>
        <v>0</v>
      </c>
    </row>
    <row r="251" spans="1:24" x14ac:dyDescent="0.2">
      <c r="A251" s="10" t="s">
        <v>586</v>
      </c>
      <c r="B251" s="11">
        <f t="shared" si="57"/>
        <v>343</v>
      </c>
      <c r="C251" s="11" t="s">
        <v>573</v>
      </c>
      <c r="D251" s="19" t="s">
        <v>50</v>
      </c>
      <c r="E251" s="11" t="s">
        <v>237</v>
      </c>
      <c r="F251" s="20">
        <v>42738</v>
      </c>
      <c r="G251" s="25">
        <v>30</v>
      </c>
      <c r="H251" s="13">
        <f t="shared" si="62"/>
        <v>5000</v>
      </c>
      <c r="I251" s="13">
        <f t="shared" si="65"/>
        <v>0</v>
      </c>
      <c r="J251" s="13">
        <f t="shared" si="56"/>
        <v>250</v>
      </c>
      <c r="L251" s="13">
        <f t="shared" si="58"/>
        <v>800</v>
      </c>
      <c r="N251" s="13">
        <f>((1950+1441-178+1017+1527+0)/G$3)*G251</f>
        <v>5757</v>
      </c>
      <c r="P251" s="13">
        <f t="shared" si="54"/>
        <v>11807</v>
      </c>
      <c r="Q251" s="12">
        <f t="shared" si="55"/>
        <v>600</v>
      </c>
      <c r="R251" s="12">
        <f t="shared" si="63"/>
        <v>207</v>
      </c>
      <c r="S251" s="21">
        <v>0</v>
      </c>
      <c r="T251" s="28">
        <v>0</v>
      </c>
      <c r="U251" s="13">
        <f t="shared" si="61"/>
        <v>807</v>
      </c>
      <c r="V251" s="13">
        <f t="shared" si="64"/>
        <v>11000</v>
      </c>
      <c r="W251" s="11">
        <v>11000</v>
      </c>
      <c r="X251" s="16">
        <f t="shared" si="67"/>
        <v>0</v>
      </c>
    </row>
    <row r="252" spans="1:24" s="41" customFormat="1" x14ac:dyDescent="0.2">
      <c r="A252" s="40" t="s">
        <v>315</v>
      </c>
      <c r="B252" s="41">
        <f t="shared" si="57"/>
        <v>344</v>
      </c>
      <c r="C252" s="41" t="s">
        <v>574</v>
      </c>
      <c r="D252" s="42" t="s">
        <v>50</v>
      </c>
      <c r="E252" s="41" t="s">
        <v>237</v>
      </c>
      <c r="F252" s="43">
        <v>42887</v>
      </c>
      <c r="G252" s="44">
        <v>30</v>
      </c>
      <c r="H252" s="45">
        <f t="shared" si="62"/>
        <v>5000</v>
      </c>
      <c r="I252" s="45">
        <f t="shared" si="65"/>
        <v>0</v>
      </c>
      <c r="J252" s="45">
        <f t="shared" si="56"/>
        <v>250</v>
      </c>
      <c r="K252" s="45"/>
      <c r="L252" s="45">
        <f t="shared" si="58"/>
        <v>800</v>
      </c>
      <c r="M252" s="45"/>
      <c r="N252" s="45">
        <f>((1950+1441-178+0+1018+0)/G$3)*G252</f>
        <v>4231</v>
      </c>
      <c r="O252" s="45"/>
      <c r="P252" s="45">
        <f t="shared" si="54"/>
        <v>10281</v>
      </c>
      <c r="Q252" s="46">
        <f t="shared" si="55"/>
        <v>600</v>
      </c>
      <c r="R252" s="46">
        <f t="shared" si="63"/>
        <v>180</v>
      </c>
      <c r="S252" s="47">
        <v>0</v>
      </c>
      <c r="T252" s="48">
        <v>0</v>
      </c>
      <c r="U252" s="45">
        <f t="shared" si="61"/>
        <v>780</v>
      </c>
      <c r="V252" s="45">
        <f t="shared" si="64"/>
        <v>9501</v>
      </c>
      <c r="W252" s="41">
        <v>10000</v>
      </c>
      <c r="X252" s="49">
        <f t="shared" si="67"/>
        <v>499</v>
      </c>
    </row>
    <row r="253" spans="1:24" x14ac:dyDescent="0.2">
      <c r="A253" s="10" t="s">
        <v>315</v>
      </c>
      <c r="B253" s="11">
        <f t="shared" si="57"/>
        <v>345</v>
      </c>
      <c r="C253" s="11" t="s">
        <v>575</v>
      </c>
      <c r="D253" s="19" t="s">
        <v>50</v>
      </c>
      <c r="E253" s="11" t="s">
        <v>237</v>
      </c>
      <c r="F253" s="20">
        <v>42906</v>
      </c>
      <c r="G253" s="25">
        <v>30</v>
      </c>
      <c r="H253" s="13">
        <f t="shared" si="62"/>
        <v>5000</v>
      </c>
      <c r="I253" s="13">
        <f t="shared" si="65"/>
        <v>0</v>
      </c>
      <c r="J253" s="13">
        <f t="shared" si="56"/>
        <v>250</v>
      </c>
      <c r="L253" s="13">
        <f t="shared" si="58"/>
        <v>800</v>
      </c>
      <c r="N253" s="13">
        <f>((1950+1441-178+1017+2036+0)/G$3)*G253</f>
        <v>6266</v>
      </c>
      <c r="P253" s="13">
        <f t="shared" si="54"/>
        <v>12316</v>
      </c>
      <c r="Q253" s="12">
        <f t="shared" si="55"/>
        <v>600</v>
      </c>
      <c r="R253" s="12">
        <f t="shared" si="63"/>
        <v>216</v>
      </c>
      <c r="S253" s="21">
        <v>0</v>
      </c>
      <c r="T253" s="28">
        <v>0</v>
      </c>
      <c r="U253" s="13">
        <f t="shared" si="61"/>
        <v>816</v>
      </c>
      <c r="V253" s="13">
        <f t="shared" si="64"/>
        <v>11500</v>
      </c>
      <c r="W253" s="11">
        <v>11500</v>
      </c>
      <c r="X253" s="16">
        <f t="shared" si="67"/>
        <v>0</v>
      </c>
    </row>
    <row r="254" spans="1:24" x14ac:dyDescent="0.2">
      <c r="A254" s="10" t="s">
        <v>315</v>
      </c>
      <c r="B254" s="11">
        <f t="shared" si="57"/>
        <v>346</v>
      </c>
      <c r="C254" s="11" t="s">
        <v>576</v>
      </c>
      <c r="D254" s="19" t="s">
        <v>50</v>
      </c>
      <c r="E254" s="11" t="s">
        <v>232</v>
      </c>
      <c r="F254" s="20">
        <v>42887</v>
      </c>
      <c r="G254" s="25">
        <v>30</v>
      </c>
      <c r="H254" s="13">
        <f t="shared" si="62"/>
        <v>5000</v>
      </c>
      <c r="I254" s="13">
        <f t="shared" si="65"/>
        <v>0</v>
      </c>
      <c r="J254" s="13">
        <f t="shared" si="56"/>
        <v>250</v>
      </c>
      <c r="L254" s="13">
        <f t="shared" si="58"/>
        <v>800</v>
      </c>
      <c r="N254" s="13">
        <f>((1950+1441-178+1017+0)/G$3)*G254</f>
        <v>4230</v>
      </c>
      <c r="P254" s="13">
        <f t="shared" si="54"/>
        <v>10280</v>
      </c>
      <c r="Q254" s="12">
        <f t="shared" si="55"/>
        <v>600</v>
      </c>
      <c r="R254" s="12">
        <f t="shared" si="63"/>
        <v>180</v>
      </c>
      <c r="S254" s="21">
        <v>0</v>
      </c>
      <c r="T254" s="28">
        <v>0</v>
      </c>
      <c r="U254" s="13">
        <f t="shared" si="61"/>
        <v>780</v>
      </c>
      <c r="V254" s="13">
        <f t="shared" si="64"/>
        <v>9500</v>
      </c>
      <c r="W254" s="11">
        <v>9500</v>
      </c>
      <c r="X254" s="16">
        <f t="shared" si="67"/>
        <v>0</v>
      </c>
    </row>
    <row r="255" spans="1:24" x14ac:dyDescent="0.2">
      <c r="A255" s="10" t="s">
        <v>315</v>
      </c>
      <c r="B255" s="11">
        <f t="shared" si="57"/>
        <v>347</v>
      </c>
      <c r="C255" s="11" t="s">
        <v>577</v>
      </c>
      <c r="D255" s="19" t="s">
        <v>50</v>
      </c>
      <c r="E255" s="11" t="s">
        <v>232</v>
      </c>
      <c r="F255" s="20">
        <v>42892</v>
      </c>
      <c r="G255" s="25">
        <v>30</v>
      </c>
      <c r="H255" s="13">
        <f t="shared" si="62"/>
        <v>5000</v>
      </c>
      <c r="I255" s="13">
        <f t="shared" si="65"/>
        <v>0</v>
      </c>
      <c r="J255" s="13">
        <f t="shared" si="56"/>
        <v>250</v>
      </c>
      <c r="L255" s="13">
        <f t="shared" si="58"/>
        <v>800</v>
      </c>
      <c r="N255" s="13">
        <f>((1950+1441-178+1017+0)/G$3)*G255</f>
        <v>4230</v>
      </c>
      <c r="P255" s="13">
        <f t="shared" si="54"/>
        <v>10280</v>
      </c>
      <c r="Q255" s="12">
        <f t="shared" si="55"/>
        <v>600</v>
      </c>
      <c r="R255" s="12">
        <f t="shared" si="63"/>
        <v>180</v>
      </c>
      <c r="S255" s="21">
        <v>0</v>
      </c>
      <c r="T255" s="28">
        <v>0</v>
      </c>
      <c r="U255" s="13">
        <f t="shared" si="61"/>
        <v>780</v>
      </c>
      <c r="V255" s="13">
        <f t="shared" si="64"/>
        <v>9500</v>
      </c>
      <c r="W255" s="11">
        <v>9500</v>
      </c>
      <c r="X255" s="16">
        <f t="shared" si="67"/>
        <v>0</v>
      </c>
    </row>
    <row r="256" spans="1:24" x14ac:dyDescent="0.2">
      <c r="A256" s="10" t="s">
        <v>315</v>
      </c>
      <c r="B256" s="11">
        <f t="shared" si="57"/>
        <v>348</v>
      </c>
      <c r="C256" s="11" t="s">
        <v>578</v>
      </c>
      <c r="D256" s="19" t="s">
        <v>50</v>
      </c>
      <c r="E256" s="11" t="s">
        <v>232</v>
      </c>
      <c r="F256" s="20">
        <v>42896</v>
      </c>
      <c r="G256" s="25">
        <v>30</v>
      </c>
      <c r="H256" s="13">
        <f t="shared" si="62"/>
        <v>5000</v>
      </c>
      <c r="I256" s="13">
        <f t="shared" si="65"/>
        <v>0</v>
      </c>
      <c r="J256" s="13">
        <f t="shared" si="56"/>
        <v>250</v>
      </c>
      <c r="L256" s="13">
        <f t="shared" si="58"/>
        <v>800</v>
      </c>
      <c r="N256" s="13">
        <f>((1950+1441-178+1017+1018+0)/G$3)*G256</f>
        <v>5248</v>
      </c>
      <c r="P256" s="13">
        <f t="shared" si="54"/>
        <v>11298</v>
      </c>
      <c r="Q256" s="12">
        <f t="shared" si="55"/>
        <v>600</v>
      </c>
      <c r="R256" s="12">
        <f t="shared" si="63"/>
        <v>198</v>
      </c>
      <c r="S256" s="21">
        <v>0</v>
      </c>
      <c r="T256" s="28">
        <v>0</v>
      </c>
      <c r="U256" s="13">
        <f t="shared" si="61"/>
        <v>798</v>
      </c>
      <c r="V256" s="13">
        <f t="shared" si="64"/>
        <v>10500</v>
      </c>
      <c r="W256" s="11">
        <v>10500</v>
      </c>
      <c r="X256" s="16">
        <f t="shared" si="67"/>
        <v>0</v>
      </c>
    </row>
    <row r="257" spans="1:24" x14ac:dyDescent="0.2">
      <c r="A257" s="10" t="s">
        <v>587</v>
      </c>
      <c r="B257" s="11">
        <f t="shared" si="57"/>
        <v>349</v>
      </c>
      <c r="C257" s="11" t="s">
        <v>263</v>
      </c>
      <c r="D257" s="19" t="s">
        <v>50</v>
      </c>
      <c r="E257" s="11" t="s">
        <v>239</v>
      </c>
      <c r="F257" s="20">
        <v>42871</v>
      </c>
      <c r="G257" s="25">
        <v>30</v>
      </c>
      <c r="H257" s="13">
        <f t="shared" si="62"/>
        <v>5000</v>
      </c>
      <c r="I257" s="13">
        <f t="shared" si="65"/>
        <v>0</v>
      </c>
      <c r="J257" s="13">
        <f t="shared" si="56"/>
        <v>250</v>
      </c>
      <c r="L257" s="13">
        <f t="shared" si="58"/>
        <v>800</v>
      </c>
      <c r="N257" s="13">
        <f>((1950+1441-178+1017+0)/G$3)*G257</f>
        <v>4230</v>
      </c>
      <c r="P257" s="13">
        <f t="shared" si="54"/>
        <v>10280</v>
      </c>
      <c r="Q257" s="12">
        <f t="shared" si="55"/>
        <v>600</v>
      </c>
      <c r="R257" s="12">
        <f t="shared" si="63"/>
        <v>180</v>
      </c>
      <c r="S257" s="21">
        <v>0</v>
      </c>
      <c r="T257" s="28">
        <v>0</v>
      </c>
      <c r="U257" s="13">
        <f t="shared" si="61"/>
        <v>780</v>
      </c>
      <c r="V257" s="13">
        <f t="shared" si="64"/>
        <v>9500</v>
      </c>
      <c r="W257" s="11">
        <v>9500</v>
      </c>
      <c r="X257" s="16">
        <f t="shared" si="67"/>
        <v>0</v>
      </c>
    </row>
    <row r="258" spans="1:24" x14ac:dyDescent="0.2">
      <c r="A258" s="10" t="s">
        <v>353</v>
      </c>
      <c r="B258" s="11">
        <f t="shared" si="57"/>
        <v>350</v>
      </c>
      <c r="C258" s="11" t="s">
        <v>579</v>
      </c>
      <c r="D258" s="19" t="s">
        <v>50</v>
      </c>
      <c r="E258" s="11" t="s">
        <v>239</v>
      </c>
      <c r="F258" s="20">
        <v>42854</v>
      </c>
      <c r="G258" s="25">
        <v>30</v>
      </c>
      <c r="H258" s="13">
        <f t="shared" si="62"/>
        <v>5000</v>
      </c>
      <c r="I258" s="13">
        <f t="shared" si="65"/>
        <v>0</v>
      </c>
      <c r="J258" s="13">
        <f t="shared" si="56"/>
        <v>250</v>
      </c>
      <c r="L258" s="13">
        <f t="shared" si="58"/>
        <v>800</v>
      </c>
      <c r="N258" s="13">
        <f>((1950+1441-178+1017+1018+0)/G$3)*G258</f>
        <v>5248</v>
      </c>
      <c r="O258" s="13">
        <v>920</v>
      </c>
      <c r="P258" s="13">
        <f t="shared" si="54"/>
        <v>12218</v>
      </c>
      <c r="Q258" s="12">
        <f t="shared" si="55"/>
        <v>600</v>
      </c>
      <c r="R258" s="12">
        <f t="shared" si="63"/>
        <v>214</v>
      </c>
      <c r="S258" s="21">
        <v>0</v>
      </c>
      <c r="T258" s="28">
        <v>0</v>
      </c>
      <c r="U258" s="13">
        <f t="shared" si="61"/>
        <v>814</v>
      </c>
      <c r="V258" s="13">
        <f t="shared" si="64"/>
        <v>11404</v>
      </c>
      <c r="W258" s="11">
        <v>10500</v>
      </c>
      <c r="X258" s="16">
        <f t="shared" si="67"/>
        <v>-904</v>
      </c>
    </row>
    <row r="259" spans="1:24" x14ac:dyDescent="0.2">
      <c r="A259" s="10" t="s">
        <v>315</v>
      </c>
      <c r="B259" s="11">
        <f t="shared" si="57"/>
        <v>351</v>
      </c>
      <c r="C259" s="11" t="s">
        <v>262</v>
      </c>
      <c r="D259" s="19" t="s">
        <v>50</v>
      </c>
      <c r="E259" s="11" t="s">
        <v>239</v>
      </c>
      <c r="F259" s="20">
        <v>42890</v>
      </c>
      <c r="G259" s="25">
        <v>30</v>
      </c>
      <c r="H259" s="13">
        <f t="shared" si="62"/>
        <v>5000</v>
      </c>
      <c r="I259" s="13">
        <f t="shared" si="65"/>
        <v>0</v>
      </c>
      <c r="J259" s="13">
        <f t="shared" si="56"/>
        <v>250</v>
      </c>
      <c r="L259" s="13">
        <f t="shared" si="58"/>
        <v>800</v>
      </c>
      <c r="N259" s="13">
        <f>((1950+1441-178+1017+0)/G$3)*G259</f>
        <v>4230</v>
      </c>
      <c r="P259" s="13">
        <f t="shared" si="54"/>
        <v>10280</v>
      </c>
      <c r="Q259" s="12">
        <f t="shared" si="55"/>
        <v>600</v>
      </c>
      <c r="R259" s="12">
        <f t="shared" si="63"/>
        <v>180</v>
      </c>
      <c r="S259" s="21">
        <v>0</v>
      </c>
      <c r="T259" s="28">
        <v>0</v>
      </c>
      <c r="U259" s="13">
        <f t="shared" si="61"/>
        <v>780</v>
      </c>
      <c r="V259" s="13">
        <f t="shared" si="64"/>
        <v>9500</v>
      </c>
      <c r="W259" s="11">
        <v>9500</v>
      </c>
      <c r="X259" s="16">
        <f t="shared" si="67"/>
        <v>0</v>
      </c>
    </row>
    <row r="260" spans="1:24" x14ac:dyDescent="0.2">
      <c r="A260" s="10" t="s">
        <v>315</v>
      </c>
      <c r="B260" s="11">
        <f t="shared" si="57"/>
        <v>352</v>
      </c>
      <c r="C260" s="11" t="s">
        <v>367</v>
      </c>
      <c r="D260" s="19" t="s">
        <v>50</v>
      </c>
      <c r="E260" s="11" t="s">
        <v>241</v>
      </c>
      <c r="F260" s="20">
        <v>42888</v>
      </c>
      <c r="G260" s="25">
        <v>30</v>
      </c>
      <c r="H260" s="13">
        <f t="shared" si="62"/>
        <v>5000</v>
      </c>
      <c r="I260" s="13">
        <f t="shared" si="65"/>
        <v>0</v>
      </c>
      <c r="J260" s="13">
        <f t="shared" si="56"/>
        <v>250</v>
      </c>
      <c r="L260" s="13">
        <f t="shared" si="58"/>
        <v>800</v>
      </c>
      <c r="N260" s="13">
        <f>((1950+1441-178+1017+0)/G$3)*G260</f>
        <v>4230</v>
      </c>
      <c r="P260" s="13">
        <f t="shared" si="54"/>
        <v>10280</v>
      </c>
      <c r="Q260" s="12">
        <f t="shared" si="55"/>
        <v>600</v>
      </c>
      <c r="R260" s="12">
        <f t="shared" si="63"/>
        <v>180</v>
      </c>
      <c r="S260" s="21">
        <v>0</v>
      </c>
      <c r="T260" s="28">
        <v>0</v>
      </c>
      <c r="U260" s="13">
        <f t="shared" si="61"/>
        <v>780</v>
      </c>
      <c r="V260" s="13">
        <f t="shared" si="64"/>
        <v>9500</v>
      </c>
      <c r="W260" s="11">
        <v>9500</v>
      </c>
      <c r="X260" s="16">
        <f t="shared" si="67"/>
        <v>0</v>
      </c>
    </row>
    <row r="261" spans="1:24" x14ac:dyDescent="0.2">
      <c r="A261" s="10" t="s">
        <v>315</v>
      </c>
      <c r="B261" s="11">
        <f t="shared" si="57"/>
        <v>353</v>
      </c>
      <c r="C261" s="11" t="s">
        <v>403</v>
      </c>
      <c r="D261" s="19" t="s">
        <v>50</v>
      </c>
      <c r="E261" s="11" t="s">
        <v>241</v>
      </c>
      <c r="F261" s="20">
        <v>42898</v>
      </c>
      <c r="G261" s="25">
        <v>30</v>
      </c>
      <c r="H261" s="13">
        <f t="shared" si="62"/>
        <v>5000</v>
      </c>
      <c r="I261" s="13">
        <f t="shared" si="65"/>
        <v>0</v>
      </c>
      <c r="J261" s="13">
        <f t="shared" si="56"/>
        <v>250</v>
      </c>
      <c r="L261" s="13">
        <f t="shared" si="58"/>
        <v>800</v>
      </c>
      <c r="N261" s="13">
        <f>((1950+1441-178+1017+0)/G$3)*G261</f>
        <v>4230</v>
      </c>
      <c r="P261" s="13">
        <f t="shared" si="54"/>
        <v>10280</v>
      </c>
      <c r="Q261" s="12">
        <f t="shared" si="55"/>
        <v>600</v>
      </c>
      <c r="R261" s="12">
        <f t="shared" si="63"/>
        <v>180</v>
      </c>
      <c r="S261" s="21">
        <v>0</v>
      </c>
      <c r="T261" s="28">
        <v>0</v>
      </c>
      <c r="U261" s="13">
        <f t="shared" si="61"/>
        <v>780</v>
      </c>
      <c r="V261" s="13">
        <f t="shared" si="64"/>
        <v>9500</v>
      </c>
      <c r="W261" s="11">
        <v>9500</v>
      </c>
      <c r="X261" s="16">
        <f t="shared" si="67"/>
        <v>0</v>
      </c>
    </row>
    <row r="262" spans="1:24" x14ac:dyDescent="0.2">
      <c r="A262" s="10" t="s">
        <v>315</v>
      </c>
      <c r="B262" s="11">
        <f t="shared" si="57"/>
        <v>354</v>
      </c>
      <c r="C262" s="11" t="s">
        <v>580</v>
      </c>
      <c r="D262" s="19" t="s">
        <v>50</v>
      </c>
      <c r="E262" s="11" t="s">
        <v>241</v>
      </c>
      <c r="F262" s="20">
        <v>42897</v>
      </c>
      <c r="G262" s="25">
        <v>30</v>
      </c>
      <c r="H262" s="13">
        <f t="shared" si="62"/>
        <v>5000</v>
      </c>
      <c r="I262" s="13">
        <f t="shared" si="65"/>
        <v>0</v>
      </c>
      <c r="J262" s="13">
        <f t="shared" si="56"/>
        <v>250</v>
      </c>
      <c r="L262" s="13">
        <f t="shared" si="58"/>
        <v>800</v>
      </c>
      <c r="N262" s="13">
        <f>((1950+1441-178+1017+0)/G$3)*G262</f>
        <v>4230</v>
      </c>
      <c r="P262" s="13">
        <f t="shared" ref="P262" si="68">SUM(H262:O262)</f>
        <v>10280</v>
      </c>
      <c r="Q262" s="12">
        <f t="shared" si="55"/>
        <v>600</v>
      </c>
      <c r="R262" s="12">
        <f t="shared" si="63"/>
        <v>180</v>
      </c>
      <c r="S262" s="21">
        <v>0</v>
      </c>
      <c r="T262" s="28">
        <v>0</v>
      </c>
      <c r="U262" s="13">
        <f t="shared" si="61"/>
        <v>780</v>
      </c>
      <c r="V262" s="13">
        <f t="shared" si="64"/>
        <v>9500</v>
      </c>
      <c r="W262" s="11">
        <v>9500</v>
      </c>
      <c r="X262" s="16">
        <f t="shared" si="67"/>
        <v>0</v>
      </c>
    </row>
    <row r="263" spans="1:24" s="23" customFormat="1" x14ac:dyDescent="0.2">
      <c r="G263" s="23">
        <f t="shared" ref="G263:V263" si="69">SUM(G6:G262)</f>
        <v>7650</v>
      </c>
      <c r="H263" s="23">
        <f t="shared" si="69"/>
        <v>1275000</v>
      </c>
      <c r="I263" s="23">
        <f t="shared" si="69"/>
        <v>0</v>
      </c>
      <c r="J263" s="23">
        <f t="shared" si="69"/>
        <v>63750</v>
      </c>
      <c r="K263" s="23">
        <f t="shared" si="69"/>
        <v>0</v>
      </c>
      <c r="L263" s="23">
        <f t="shared" si="69"/>
        <v>204800</v>
      </c>
      <c r="M263" s="23">
        <f t="shared" si="69"/>
        <v>0</v>
      </c>
      <c r="N263" s="23">
        <f t="shared" si="69"/>
        <v>1314327</v>
      </c>
      <c r="O263" s="23">
        <f t="shared" si="69"/>
        <v>9207</v>
      </c>
      <c r="P263" s="23">
        <f t="shared" si="69"/>
        <v>2867084</v>
      </c>
      <c r="Q263" s="23">
        <f t="shared" si="69"/>
        <v>153000</v>
      </c>
      <c r="R263" s="23">
        <f t="shared" si="69"/>
        <v>50093</v>
      </c>
      <c r="S263" s="23">
        <f t="shared" si="69"/>
        <v>0</v>
      </c>
      <c r="T263" s="23">
        <f t="shared" si="69"/>
        <v>0</v>
      </c>
      <c r="U263" s="23">
        <f t="shared" si="69"/>
        <v>203093</v>
      </c>
      <c r="V263" s="23">
        <f t="shared" si="69"/>
        <v>2663991</v>
      </c>
    </row>
    <row r="1048268" spans="3:3" x14ac:dyDescent="0.2">
      <c r="C1048268" s="11" t="str">
        <f>UPPER(C1048262)</f>
        <v/>
      </c>
    </row>
  </sheetData>
  <autoFilter ref="A5:X263" xr:uid="{00000000-0009-0000-0000-000000000000}"/>
  <mergeCells count="2">
    <mergeCell ref="H4:N4"/>
    <mergeCell ref="Q4:T4"/>
  </mergeCells>
  <printOptions horizontalCentered="1" headings="1"/>
  <pageMargins left="0.24" right="0.15" top="0.35" bottom="0.23" header="0.2" footer="0.2"/>
  <pageSetup paperSize="9" scale="71" orientation="landscape" verticalDpi="0" r:id="rId1"/>
  <headerFooter>
    <oddHeader>&amp;C&amp;"-,Italic"Salary statement for the Month of Apr-17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48464"/>
  <sheetViews>
    <sheetView workbookViewId="0">
      <pane xSplit="7" ySplit="5" topLeftCell="H37" activePane="bottomRight" state="frozen"/>
      <selection pane="topRight" activeCell="H1" sqref="H1"/>
      <selection pane="bottomLeft" activeCell="A6" sqref="A6"/>
      <selection pane="bottomRight" activeCell="C57" sqref="C57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4.28515625" style="11" bestFit="1" customWidth="1"/>
    <col min="6" max="6" width="10.710937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5" width="8.5703125" style="13" customWidth="1"/>
    <col min="16" max="16" width="10.85546875" style="13" customWidth="1"/>
    <col min="17" max="17" width="7.85546875" style="13" customWidth="1"/>
    <col min="18" max="19" width="8.5703125" style="13" customWidth="1"/>
    <col min="20" max="20" width="6.85546875" style="13" hidden="1" customWidth="1"/>
    <col min="21" max="21" width="7" style="13" bestFit="1" customWidth="1"/>
    <col min="22" max="22" width="9" style="13" customWidth="1"/>
    <col min="23" max="23" width="9.5703125" style="13" bestFit="1" customWidth="1"/>
    <col min="24" max="24" width="8.140625" style="13" bestFit="1" customWidth="1"/>
    <col min="25" max="25" width="9.85546875" style="11" customWidth="1"/>
    <col min="26" max="26" width="9.42578125" style="11" customWidth="1"/>
    <col min="27" max="27" width="6.85546875" style="11" hidden="1" customWidth="1"/>
    <col min="28" max="28" width="8.42578125" style="11" customWidth="1"/>
    <col min="29" max="29" width="9.5703125" style="11" customWidth="1"/>
    <col min="30" max="16384" width="9.140625" style="11"/>
  </cols>
  <sheetData>
    <row r="1" spans="1:29" ht="13.5" x14ac:dyDescent="0.25">
      <c r="B1" s="7"/>
      <c r="C1" s="11" t="s">
        <v>24</v>
      </c>
    </row>
    <row r="2" spans="1:29" x14ac:dyDescent="0.2">
      <c r="B2" s="18"/>
      <c r="C2" s="11" t="s">
        <v>925</v>
      </c>
    </row>
    <row r="3" spans="1:29" x14ac:dyDescent="0.2">
      <c r="G3" s="14">
        <v>31</v>
      </c>
    </row>
    <row r="4" spans="1:29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58" t="s">
        <v>4</v>
      </c>
      <c r="I4" s="158"/>
      <c r="J4" s="158"/>
      <c r="K4" s="158"/>
      <c r="L4" s="158"/>
      <c r="M4" s="158"/>
      <c r="N4" s="158"/>
      <c r="O4" s="51"/>
      <c r="P4" s="15" t="s">
        <v>5</v>
      </c>
      <c r="Q4" s="158" t="s">
        <v>7</v>
      </c>
      <c r="R4" s="158"/>
      <c r="S4" s="158"/>
      <c r="T4" s="158"/>
      <c r="U4" s="15" t="s">
        <v>5</v>
      </c>
      <c r="V4" s="15" t="s">
        <v>8</v>
      </c>
      <c r="W4" s="5"/>
      <c r="X4" s="15" t="s">
        <v>20</v>
      </c>
      <c r="Y4" s="159" t="s">
        <v>9</v>
      </c>
      <c r="Z4" s="159"/>
      <c r="AA4" s="159"/>
      <c r="AB4" s="4" t="s">
        <v>5</v>
      </c>
      <c r="AC4" s="4" t="s">
        <v>10</v>
      </c>
    </row>
    <row r="5" spans="1:29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1027</v>
      </c>
      <c r="P5" s="15" t="s">
        <v>16</v>
      </c>
      <c r="Q5" s="15" t="s">
        <v>17</v>
      </c>
      <c r="R5" s="15" t="s">
        <v>18</v>
      </c>
      <c r="S5" s="15" t="s">
        <v>19</v>
      </c>
      <c r="T5" s="5" t="s">
        <v>31</v>
      </c>
      <c r="U5" s="15" t="s">
        <v>16</v>
      </c>
      <c r="V5" s="15" t="s">
        <v>20</v>
      </c>
      <c r="W5" s="8" t="s">
        <v>21</v>
      </c>
      <c r="X5" s="15" t="s">
        <v>288</v>
      </c>
      <c r="Y5" s="4" t="s">
        <v>17</v>
      </c>
      <c r="Z5" s="4" t="s">
        <v>18</v>
      </c>
      <c r="AA5" s="9" t="s">
        <v>31</v>
      </c>
      <c r="AB5" s="9" t="s">
        <v>16</v>
      </c>
      <c r="AC5" s="9" t="s">
        <v>20</v>
      </c>
    </row>
    <row r="6" spans="1:29" x14ac:dyDescent="0.2">
      <c r="A6" s="10" t="s">
        <v>25</v>
      </c>
      <c r="B6" s="11">
        <v>1</v>
      </c>
      <c r="C6" s="11" t="s">
        <v>23</v>
      </c>
      <c r="D6" s="19" t="s">
        <v>51</v>
      </c>
      <c r="E6" s="11" t="s">
        <v>238</v>
      </c>
      <c r="F6" s="20">
        <v>42005</v>
      </c>
      <c r="G6" s="11">
        <v>33</v>
      </c>
      <c r="H6" s="13">
        <f t="shared" ref="H6:H69" si="0">(5000/G$3)*G6</f>
        <v>5322.5806451612898</v>
      </c>
      <c r="I6" s="13">
        <f>((0)/G$3)*G6</f>
        <v>0</v>
      </c>
      <c r="J6" s="13">
        <f t="shared" ref="J6:J69" si="1">(H6+I6)*5%</f>
        <v>266.12903225806451</v>
      </c>
      <c r="L6" s="13">
        <f>((800)/G$3)*G6</f>
        <v>851.61290322580635</v>
      </c>
      <c r="N6" s="13">
        <f>((4950+1200-36+1216+610)/G$3)*G6</f>
        <v>8452.2580645161288</v>
      </c>
      <c r="P6" s="13">
        <f>SUM(H6:O6)</f>
        <v>14892.58064516129</v>
      </c>
      <c r="Q6" s="12">
        <f t="shared" ref="Q6:Q69" si="2">(H6+I6)*12%</f>
        <v>638.70967741935476</v>
      </c>
      <c r="R6" s="12">
        <f t="shared" ref="R6:R69" si="3">ROUNDUP((P6*1.75%),0)</f>
        <v>261</v>
      </c>
      <c r="S6" s="21">
        <f>+IF(P6&lt;2501,0,IF((P6&gt;2501)*(P6&lt;3500),0,IF((P6&gt;3501)*(P6&lt;7500),0,IF((P6&gt;7501)*(P6&lt;10000),175,200))))</f>
        <v>200</v>
      </c>
      <c r="T6" s="13">
        <v>0</v>
      </c>
      <c r="U6" s="13">
        <f t="shared" ref="U6:U8" si="4">SUM(Q6:T6)</f>
        <v>1099.7096774193546</v>
      </c>
      <c r="V6" s="13">
        <f t="shared" ref="V6:V69" si="5">P6-U6</f>
        <v>13792.870967741936</v>
      </c>
      <c r="X6" s="13">
        <f>V6-W6</f>
        <v>13792.870967741936</v>
      </c>
      <c r="Y6" s="12">
        <f>(H6+I6)*13.15%</f>
        <v>699.91935483870964</v>
      </c>
      <c r="Z6" s="12">
        <f t="shared" ref="Z6:Z69" si="6">CEILING((P6)*4.75%,1)</f>
        <v>708</v>
      </c>
      <c r="AA6" s="1">
        <f>T6*3</f>
        <v>0</v>
      </c>
      <c r="AB6" s="16">
        <f t="shared" ref="AB6:AB8" si="7">SUM(Y6:AA6)</f>
        <v>1407.9193548387098</v>
      </c>
      <c r="AC6" s="16">
        <f t="shared" ref="AC6:AC69" si="8">P6+AB6</f>
        <v>16300.5</v>
      </c>
    </row>
    <row r="7" spans="1:29" x14ac:dyDescent="0.2">
      <c r="A7" s="10" t="s">
        <v>44</v>
      </c>
      <c r="B7" s="11">
        <f>B6+1</f>
        <v>2</v>
      </c>
      <c r="C7" s="11" t="s">
        <v>309</v>
      </c>
      <c r="D7" s="19" t="s">
        <v>51</v>
      </c>
      <c r="E7" s="11" t="s">
        <v>657</v>
      </c>
      <c r="F7" s="20">
        <v>42282</v>
      </c>
      <c r="G7" s="11">
        <v>35</v>
      </c>
      <c r="H7" s="13">
        <f t="shared" si="0"/>
        <v>5645.1612903225805</v>
      </c>
      <c r="I7" s="13">
        <f t="shared" ref="I7:I70" si="9">((0)/G$3)*G7</f>
        <v>0</v>
      </c>
      <c r="J7" s="13">
        <f t="shared" si="1"/>
        <v>282.25806451612902</v>
      </c>
      <c r="L7" s="13">
        <f t="shared" ref="L7:L70" si="10">((800)/G$3)*G7</f>
        <v>903.22580645161281</v>
      </c>
      <c r="N7" s="13">
        <f>((1950+1441+206+636)/G$3)*G7</f>
        <v>4779.1935483870975</v>
      </c>
      <c r="P7" s="13">
        <f t="shared" ref="P7:P58" si="11">SUM(H7:O7)</f>
        <v>11609.83870967742</v>
      </c>
      <c r="Q7" s="12">
        <f t="shared" si="2"/>
        <v>677.41935483870964</v>
      </c>
      <c r="R7" s="12">
        <f t="shared" si="3"/>
        <v>204</v>
      </c>
      <c r="S7" s="21">
        <f t="shared" ref="S7:S70" si="12">+IF(P7&lt;2501,0,IF((P7&gt;2501)*(P7&lt;3500),0,IF((P7&gt;3501)*(P7&lt;7500),0,IF((P7&gt;7501)*(P7&lt;10000),175,200))))</f>
        <v>200</v>
      </c>
      <c r="T7" s="13">
        <v>0</v>
      </c>
      <c r="U7" s="13">
        <f t="shared" si="4"/>
        <v>1081.4193548387098</v>
      </c>
      <c r="V7" s="13">
        <f t="shared" si="5"/>
        <v>10528.41935483871</v>
      </c>
      <c r="X7" s="13">
        <f t="shared" ref="X7:X70" si="13">V7-W7</f>
        <v>10528.41935483871</v>
      </c>
      <c r="Y7" s="12">
        <f t="shared" ref="Y7:Y70" si="14">(H7+I7)*13.15%</f>
        <v>742.33870967741939</v>
      </c>
      <c r="Z7" s="12">
        <f t="shared" si="6"/>
        <v>552</v>
      </c>
      <c r="AA7" s="1">
        <f t="shared" ref="AA7:AA70" si="15">T7*3</f>
        <v>0</v>
      </c>
      <c r="AB7" s="16">
        <f t="shared" si="7"/>
        <v>1294.3387096774195</v>
      </c>
      <c r="AC7" s="16">
        <f t="shared" si="8"/>
        <v>12904.177419354841</v>
      </c>
    </row>
    <row r="8" spans="1:29" x14ac:dyDescent="0.2">
      <c r="A8" s="10" t="s">
        <v>45</v>
      </c>
      <c r="B8" s="11">
        <f t="shared" ref="B8:B71" si="16">B7+1</f>
        <v>3</v>
      </c>
      <c r="C8" s="11" t="s">
        <v>42</v>
      </c>
      <c r="D8" s="11" t="s">
        <v>51</v>
      </c>
      <c r="E8" s="11" t="s">
        <v>581</v>
      </c>
      <c r="F8" s="20">
        <v>42326</v>
      </c>
      <c r="G8" s="11">
        <v>28</v>
      </c>
      <c r="H8" s="13">
        <f t="shared" si="0"/>
        <v>4516.1290322580644</v>
      </c>
      <c r="I8" s="13">
        <f t="shared" si="9"/>
        <v>0</v>
      </c>
      <c r="J8" s="13">
        <f t="shared" si="1"/>
        <v>225.80645161290323</v>
      </c>
      <c r="L8" s="13">
        <f t="shared" si="10"/>
        <v>722.58064516129025</v>
      </c>
      <c r="N8" s="13">
        <f>((1950+1441+559+2500+611)/G$3)*G8</f>
        <v>6377.677419354839</v>
      </c>
      <c r="P8" s="13">
        <f t="shared" si="11"/>
        <v>11842.193548387097</v>
      </c>
      <c r="Q8" s="12">
        <f t="shared" si="2"/>
        <v>541.93548387096769</v>
      </c>
      <c r="R8" s="12">
        <f t="shared" si="3"/>
        <v>208</v>
      </c>
      <c r="S8" s="21">
        <f t="shared" si="12"/>
        <v>200</v>
      </c>
      <c r="T8" s="13">
        <v>0</v>
      </c>
      <c r="U8" s="13">
        <f t="shared" si="4"/>
        <v>949.93548387096769</v>
      </c>
      <c r="V8" s="13">
        <f t="shared" si="5"/>
        <v>10892.258064516129</v>
      </c>
      <c r="X8" s="13">
        <f t="shared" si="13"/>
        <v>10892.258064516129</v>
      </c>
      <c r="Y8" s="12">
        <f t="shared" si="14"/>
        <v>593.87096774193549</v>
      </c>
      <c r="Z8" s="12">
        <f t="shared" si="6"/>
        <v>563</v>
      </c>
      <c r="AA8" s="1">
        <f t="shared" si="15"/>
        <v>0</v>
      </c>
      <c r="AB8" s="16">
        <f t="shared" si="7"/>
        <v>1156.8709677419356</v>
      </c>
      <c r="AC8" s="16">
        <f t="shared" si="8"/>
        <v>12999.064516129032</v>
      </c>
    </row>
    <row r="9" spans="1:29" x14ac:dyDescent="0.2">
      <c r="A9" s="10" t="s">
        <v>88</v>
      </c>
      <c r="B9" s="11">
        <f t="shared" si="16"/>
        <v>4</v>
      </c>
      <c r="C9" s="11" t="s">
        <v>68</v>
      </c>
      <c r="D9" s="11" t="s">
        <v>51</v>
      </c>
      <c r="E9" s="11" t="s">
        <v>657</v>
      </c>
      <c r="F9" s="22">
        <v>42508</v>
      </c>
      <c r="G9" s="11">
        <v>34</v>
      </c>
      <c r="H9" s="13">
        <f t="shared" si="0"/>
        <v>5483.8709677419356</v>
      </c>
      <c r="I9" s="13">
        <f t="shared" si="9"/>
        <v>0</v>
      </c>
      <c r="J9" s="13">
        <f t="shared" si="1"/>
        <v>274.19354838709677</v>
      </c>
      <c r="L9" s="13">
        <f t="shared" si="10"/>
        <v>877.41935483870964</v>
      </c>
      <c r="N9" s="13">
        <f>((1950+1000+611)/G$3)*G9</f>
        <v>3905.6129032258068</v>
      </c>
      <c r="P9" s="13">
        <f t="shared" si="11"/>
        <v>10541.096774193549</v>
      </c>
      <c r="Q9" s="12">
        <f t="shared" si="2"/>
        <v>658.0645161290322</v>
      </c>
      <c r="R9" s="12">
        <f t="shared" si="3"/>
        <v>185</v>
      </c>
      <c r="S9" s="21">
        <f t="shared" si="12"/>
        <v>200</v>
      </c>
      <c r="T9" s="13">
        <v>0</v>
      </c>
      <c r="U9" s="13">
        <f t="shared" ref="U9" si="17">SUM(Q9:T9)</f>
        <v>1043.0645161290322</v>
      </c>
      <c r="V9" s="13">
        <f t="shared" si="5"/>
        <v>9498.032258064517</v>
      </c>
      <c r="X9" s="13">
        <f t="shared" si="13"/>
        <v>9498.032258064517</v>
      </c>
      <c r="Y9" s="12">
        <f t="shared" si="14"/>
        <v>721.12903225806451</v>
      </c>
      <c r="Z9" s="12">
        <f t="shared" si="6"/>
        <v>501</v>
      </c>
      <c r="AA9" s="1">
        <f t="shared" si="15"/>
        <v>0</v>
      </c>
      <c r="AB9" s="16">
        <f t="shared" ref="AB9" si="18">SUM(Y9:AA9)</f>
        <v>1222.1290322580644</v>
      </c>
      <c r="AC9" s="16">
        <f t="shared" si="8"/>
        <v>11763.225806451614</v>
      </c>
    </row>
    <row r="10" spans="1:29" x14ac:dyDescent="0.2">
      <c r="A10" s="10" t="s">
        <v>99</v>
      </c>
      <c r="B10" s="11">
        <f t="shared" si="16"/>
        <v>5</v>
      </c>
      <c r="C10" s="11" t="s">
        <v>83</v>
      </c>
      <c r="D10" s="11" t="s">
        <v>51</v>
      </c>
      <c r="E10" s="11" t="s">
        <v>238</v>
      </c>
      <c r="F10" s="22">
        <v>42546</v>
      </c>
      <c r="G10" s="11">
        <v>37</v>
      </c>
      <c r="H10" s="13">
        <f t="shared" si="0"/>
        <v>5967.7419354838703</v>
      </c>
      <c r="I10" s="13">
        <f t="shared" si="9"/>
        <v>0</v>
      </c>
      <c r="J10" s="13">
        <f t="shared" si="1"/>
        <v>298.38709677419354</v>
      </c>
      <c r="L10" s="13">
        <f t="shared" si="10"/>
        <v>954.83870967741927</v>
      </c>
      <c r="N10" s="13">
        <f>((1950+1000+611+1383)/G$3)*G10</f>
        <v>5900.9032258064508</v>
      </c>
      <c r="O10" s="13">
        <v>1000</v>
      </c>
      <c r="P10" s="13">
        <f t="shared" si="11"/>
        <v>14121.870967741934</v>
      </c>
      <c r="Q10" s="12">
        <f t="shared" si="2"/>
        <v>716.1290322580644</v>
      </c>
      <c r="R10" s="12">
        <f t="shared" si="3"/>
        <v>248</v>
      </c>
      <c r="S10" s="21">
        <f t="shared" si="12"/>
        <v>200</v>
      </c>
      <c r="T10" s="13">
        <v>0</v>
      </c>
      <c r="U10" s="13">
        <f t="shared" ref="U10" si="19">SUM(Q10:T10)</f>
        <v>1164.1290322580644</v>
      </c>
      <c r="V10" s="13">
        <f t="shared" si="5"/>
        <v>12957.741935483869</v>
      </c>
      <c r="X10" s="13">
        <f t="shared" si="13"/>
        <v>12957.741935483869</v>
      </c>
      <c r="Y10" s="12">
        <f t="shared" si="14"/>
        <v>784.75806451612902</v>
      </c>
      <c r="Z10" s="12">
        <f t="shared" si="6"/>
        <v>671</v>
      </c>
      <c r="AA10" s="1">
        <f t="shared" si="15"/>
        <v>0</v>
      </c>
      <c r="AB10" s="16">
        <f t="shared" ref="AB10" si="20">SUM(Y10:AA10)</f>
        <v>1455.758064516129</v>
      </c>
      <c r="AC10" s="16">
        <f t="shared" si="8"/>
        <v>15577.629032258063</v>
      </c>
    </row>
    <row r="11" spans="1:29" x14ac:dyDescent="0.2">
      <c r="A11" s="10" t="s">
        <v>115</v>
      </c>
      <c r="B11" s="11">
        <f t="shared" si="16"/>
        <v>6</v>
      </c>
      <c r="C11" s="11" t="s">
        <v>95</v>
      </c>
      <c r="D11" s="11" t="s">
        <v>51</v>
      </c>
      <c r="E11" s="11" t="s">
        <v>581</v>
      </c>
      <c r="F11" s="22">
        <v>42559</v>
      </c>
      <c r="G11" s="11">
        <v>34</v>
      </c>
      <c r="H11" s="13">
        <f t="shared" si="0"/>
        <v>5483.8709677419356</v>
      </c>
      <c r="I11" s="13">
        <f t="shared" si="9"/>
        <v>0</v>
      </c>
      <c r="J11" s="13">
        <f t="shared" si="1"/>
        <v>274.19354838709677</v>
      </c>
      <c r="L11" s="13">
        <f t="shared" si="10"/>
        <v>877.41935483870964</v>
      </c>
      <c r="N11" s="13">
        <f>((1950+4000+611)/G$3)*G11</f>
        <v>7195.9354838709678</v>
      </c>
      <c r="O11" s="13">
        <v>274</v>
      </c>
      <c r="P11" s="13">
        <f t="shared" si="11"/>
        <v>14105.419354838708</v>
      </c>
      <c r="Q11" s="12">
        <f t="shared" si="2"/>
        <v>658.0645161290322</v>
      </c>
      <c r="R11" s="12">
        <f t="shared" si="3"/>
        <v>247</v>
      </c>
      <c r="S11" s="21">
        <f t="shared" si="12"/>
        <v>200</v>
      </c>
      <c r="T11" s="13">
        <v>0</v>
      </c>
      <c r="U11" s="13">
        <f t="shared" ref="U11:U12" si="21">SUM(Q11:T11)</f>
        <v>1105.0645161290322</v>
      </c>
      <c r="V11" s="13">
        <f t="shared" si="5"/>
        <v>13000.354838709676</v>
      </c>
      <c r="X11" s="13">
        <f t="shared" si="13"/>
        <v>13000.354838709676</v>
      </c>
      <c r="Y11" s="12">
        <f t="shared" si="14"/>
        <v>721.12903225806451</v>
      </c>
      <c r="Z11" s="12">
        <f t="shared" si="6"/>
        <v>671</v>
      </c>
      <c r="AA11" s="1">
        <f t="shared" si="15"/>
        <v>0</v>
      </c>
      <c r="AB11" s="16">
        <f t="shared" ref="AB11:AB12" si="22">SUM(Y11:AA11)</f>
        <v>1392.1290322580644</v>
      </c>
      <c r="AC11" s="16">
        <f t="shared" si="8"/>
        <v>15497.548387096773</v>
      </c>
    </row>
    <row r="12" spans="1:29" x14ac:dyDescent="0.2">
      <c r="A12" s="10" t="s">
        <v>116</v>
      </c>
      <c r="B12" s="11">
        <f t="shared" si="16"/>
        <v>7</v>
      </c>
      <c r="C12" s="11" t="s">
        <v>96</v>
      </c>
      <c r="D12" s="11" t="s">
        <v>51</v>
      </c>
      <c r="E12" s="11" t="s">
        <v>581</v>
      </c>
      <c r="F12" s="22">
        <v>42576</v>
      </c>
      <c r="G12" s="11">
        <v>31</v>
      </c>
      <c r="H12" s="13">
        <f t="shared" si="0"/>
        <v>5000</v>
      </c>
      <c r="I12" s="13">
        <f t="shared" si="9"/>
        <v>0</v>
      </c>
      <c r="J12" s="13">
        <f t="shared" si="1"/>
        <v>250</v>
      </c>
      <c r="L12" s="13">
        <f t="shared" si="10"/>
        <v>800</v>
      </c>
      <c r="N12" s="13">
        <f>((1950+1000+611+1383)/G$3)*G12</f>
        <v>4944</v>
      </c>
      <c r="P12" s="13">
        <f t="shared" si="11"/>
        <v>10994</v>
      </c>
      <c r="Q12" s="12">
        <f t="shared" si="2"/>
        <v>600</v>
      </c>
      <c r="R12" s="12">
        <f t="shared" si="3"/>
        <v>193</v>
      </c>
      <c r="S12" s="21">
        <f t="shared" si="12"/>
        <v>200</v>
      </c>
      <c r="T12" s="13">
        <v>0</v>
      </c>
      <c r="U12" s="13">
        <f t="shared" si="21"/>
        <v>993</v>
      </c>
      <c r="V12" s="13">
        <f t="shared" si="5"/>
        <v>10001</v>
      </c>
      <c r="X12" s="13">
        <f t="shared" si="13"/>
        <v>10001</v>
      </c>
      <c r="Y12" s="12">
        <f t="shared" si="14"/>
        <v>657.5</v>
      </c>
      <c r="Z12" s="12">
        <f t="shared" si="6"/>
        <v>523</v>
      </c>
      <c r="AA12" s="1">
        <f t="shared" si="15"/>
        <v>0</v>
      </c>
      <c r="AB12" s="16">
        <f t="shared" si="22"/>
        <v>1180.5</v>
      </c>
      <c r="AC12" s="16">
        <f t="shared" si="8"/>
        <v>12174.5</v>
      </c>
    </row>
    <row r="13" spans="1:29" x14ac:dyDescent="0.2">
      <c r="A13" s="10" t="s">
        <v>120</v>
      </c>
      <c r="B13" s="11">
        <f t="shared" si="16"/>
        <v>8</v>
      </c>
      <c r="C13" s="11" t="s">
        <v>106</v>
      </c>
      <c r="D13" s="11" t="s">
        <v>51</v>
      </c>
      <c r="E13" s="11" t="s">
        <v>238</v>
      </c>
      <c r="F13" s="22">
        <v>42583</v>
      </c>
      <c r="G13" s="11">
        <v>33</v>
      </c>
      <c r="H13" s="13">
        <f t="shared" si="0"/>
        <v>5322.5806451612898</v>
      </c>
      <c r="I13" s="13">
        <f t="shared" si="9"/>
        <v>0</v>
      </c>
      <c r="J13" s="13">
        <f t="shared" si="1"/>
        <v>266.12903225806451</v>
      </c>
      <c r="L13" s="13">
        <f t="shared" si="10"/>
        <v>851.61290322580635</v>
      </c>
      <c r="N13" s="13">
        <f>((1950+1000+611+1383)/G$3)*G13</f>
        <v>5262.967741935483</v>
      </c>
      <c r="P13" s="13">
        <f t="shared" si="11"/>
        <v>11703.290322580644</v>
      </c>
      <c r="Q13" s="12">
        <f t="shared" si="2"/>
        <v>638.70967741935476</v>
      </c>
      <c r="R13" s="12">
        <f t="shared" si="3"/>
        <v>205</v>
      </c>
      <c r="S13" s="21">
        <f t="shared" si="12"/>
        <v>200</v>
      </c>
      <c r="T13" s="13">
        <v>0</v>
      </c>
      <c r="U13" s="13">
        <f t="shared" ref="U13:U16" si="23">SUM(Q13:T13)</f>
        <v>1043.7096774193546</v>
      </c>
      <c r="V13" s="13">
        <f t="shared" si="5"/>
        <v>10659.58064516129</v>
      </c>
      <c r="X13" s="13">
        <f t="shared" si="13"/>
        <v>10659.58064516129</v>
      </c>
      <c r="Y13" s="12">
        <f t="shared" si="14"/>
        <v>699.91935483870964</v>
      </c>
      <c r="Z13" s="12">
        <f t="shared" si="6"/>
        <v>556</v>
      </c>
      <c r="AA13" s="1">
        <f t="shared" si="15"/>
        <v>0</v>
      </c>
      <c r="AB13" s="16">
        <f t="shared" ref="AB13:AB16" si="24">SUM(Y13:AA13)</f>
        <v>1255.9193548387098</v>
      </c>
      <c r="AC13" s="16">
        <f t="shared" si="8"/>
        <v>12959.209677419354</v>
      </c>
    </row>
    <row r="14" spans="1:29" x14ac:dyDescent="0.2">
      <c r="A14" s="10" t="s">
        <v>121</v>
      </c>
      <c r="B14" s="11">
        <f t="shared" si="16"/>
        <v>9</v>
      </c>
      <c r="C14" s="11" t="s">
        <v>107</v>
      </c>
      <c r="D14" s="11" t="s">
        <v>51</v>
      </c>
      <c r="E14" s="11" t="s">
        <v>658</v>
      </c>
      <c r="F14" s="22">
        <v>42583</v>
      </c>
      <c r="G14" s="11">
        <v>33</v>
      </c>
      <c r="H14" s="13">
        <f t="shared" si="0"/>
        <v>5322.5806451612898</v>
      </c>
      <c r="I14" s="13">
        <f t="shared" si="9"/>
        <v>0</v>
      </c>
      <c r="J14" s="13">
        <f t="shared" si="1"/>
        <v>266.12903225806451</v>
      </c>
      <c r="L14" s="13">
        <f t="shared" si="10"/>
        <v>851.61290322580635</v>
      </c>
      <c r="N14" s="13">
        <f>((1950+1000+611+1383)/G$3)*G14</f>
        <v>5262.967741935483</v>
      </c>
      <c r="P14" s="13">
        <f t="shared" si="11"/>
        <v>11703.290322580644</v>
      </c>
      <c r="Q14" s="12">
        <f t="shared" si="2"/>
        <v>638.70967741935476</v>
      </c>
      <c r="R14" s="12">
        <f t="shared" si="3"/>
        <v>205</v>
      </c>
      <c r="S14" s="21">
        <f t="shared" si="12"/>
        <v>200</v>
      </c>
      <c r="T14" s="13">
        <v>0</v>
      </c>
      <c r="U14" s="13">
        <f t="shared" si="23"/>
        <v>1043.7096774193546</v>
      </c>
      <c r="V14" s="13">
        <f t="shared" si="5"/>
        <v>10659.58064516129</v>
      </c>
      <c r="X14" s="13">
        <f t="shared" si="13"/>
        <v>10659.58064516129</v>
      </c>
      <c r="Y14" s="12">
        <f t="shared" si="14"/>
        <v>699.91935483870964</v>
      </c>
      <c r="Z14" s="12">
        <f t="shared" si="6"/>
        <v>556</v>
      </c>
      <c r="AA14" s="1">
        <f t="shared" si="15"/>
        <v>0</v>
      </c>
      <c r="AB14" s="16">
        <f t="shared" si="24"/>
        <v>1255.9193548387098</v>
      </c>
      <c r="AC14" s="16">
        <f t="shared" si="8"/>
        <v>12959.209677419354</v>
      </c>
    </row>
    <row r="15" spans="1:29" x14ac:dyDescent="0.2">
      <c r="A15" s="10" t="s">
        <v>122</v>
      </c>
      <c r="B15" s="11">
        <f t="shared" si="16"/>
        <v>10</v>
      </c>
      <c r="C15" s="11" t="s">
        <v>108</v>
      </c>
      <c r="D15" s="11" t="s">
        <v>51</v>
      </c>
      <c r="E15" s="11" t="s">
        <v>659</v>
      </c>
      <c r="F15" s="22">
        <v>42586</v>
      </c>
      <c r="G15" s="11">
        <v>35</v>
      </c>
      <c r="H15" s="13">
        <f t="shared" si="0"/>
        <v>5645.1612903225805</v>
      </c>
      <c r="I15" s="13">
        <f t="shared" si="9"/>
        <v>0</v>
      </c>
      <c r="J15" s="13">
        <f t="shared" si="1"/>
        <v>282.25806451612902</v>
      </c>
      <c r="L15" s="13">
        <f t="shared" si="10"/>
        <v>903.22580645161281</v>
      </c>
      <c r="N15" s="13">
        <f>((1950+1000+611+1383)/G$3)*G15</f>
        <v>5581.9354838709669</v>
      </c>
      <c r="O15" s="13">
        <v>1000</v>
      </c>
      <c r="P15" s="13">
        <f t="shared" si="11"/>
        <v>13412.580645161288</v>
      </c>
      <c r="Q15" s="12">
        <f t="shared" si="2"/>
        <v>677.41935483870964</v>
      </c>
      <c r="R15" s="12">
        <f t="shared" si="3"/>
        <v>235</v>
      </c>
      <c r="S15" s="21">
        <f t="shared" si="12"/>
        <v>200</v>
      </c>
      <c r="T15" s="13">
        <v>0</v>
      </c>
      <c r="U15" s="13">
        <f t="shared" si="23"/>
        <v>1112.4193548387098</v>
      </c>
      <c r="V15" s="13">
        <f t="shared" si="5"/>
        <v>12300.161290322578</v>
      </c>
      <c r="X15" s="13">
        <f t="shared" si="13"/>
        <v>12300.161290322578</v>
      </c>
      <c r="Y15" s="12">
        <f t="shared" si="14"/>
        <v>742.33870967741939</v>
      </c>
      <c r="Z15" s="12">
        <f t="shared" si="6"/>
        <v>638</v>
      </c>
      <c r="AA15" s="1">
        <f t="shared" si="15"/>
        <v>0</v>
      </c>
      <c r="AB15" s="16">
        <f t="shared" si="24"/>
        <v>1380.3387096774195</v>
      </c>
      <c r="AC15" s="16">
        <f t="shared" si="8"/>
        <v>14792.919354838708</v>
      </c>
    </row>
    <row r="16" spans="1:29" x14ac:dyDescent="0.2">
      <c r="A16" s="10" t="s">
        <v>123</v>
      </c>
      <c r="B16" s="11">
        <f t="shared" si="16"/>
        <v>11</v>
      </c>
      <c r="C16" s="11" t="s">
        <v>109</v>
      </c>
      <c r="D16" s="11" t="s">
        <v>51</v>
      </c>
      <c r="E16" s="11" t="s">
        <v>658</v>
      </c>
      <c r="F16" s="22">
        <v>42587</v>
      </c>
      <c r="G16" s="11">
        <v>24</v>
      </c>
      <c r="H16" s="13">
        <f t="shared" si="0"/>
        <v>3870.9677419354839</v>
      </c>
      <c r="I16" s="13">
        <f t="shared" si="9"/>
        <v>0</v>
      </c>
      <c r="J16" s="13">
        <f t="shared" si="1"/>
        <v>193.54838709677421</v>
      </c>
      <c r="L16" s="13">
        <f t="shared" si="10"/>
        <v>619.35483870967732</v>
      </c>
      <c r="N16" s="13">
        <f>((1950+1000+611+1383)/G$3)*G16</f>
        <v>3827.6129032258059</v>
      </c>
      <c r="P16" s="13">
        <f t="shared" si="11"/>
        <v>8511.4838709677424</v>
      </c>
      <c r="Q16" s="12">
        <f t="shared" si="2"/>
        <v>464.51612903225805</v>
      </c>
      <c r="R16" s="12">
        <f t="shared" si="3"/>
        <v>149</v>
      </c>
      <c r="S16" s="21">
        <f t="shared" si="12"/>
        <v>175</v>
      </c>
      <c r="T16" s="13">
        <v>0</v>
      </c>
      <c r="U16" s="13">
        <f t="shared" si="23"/>
        <v>788.51612903225805</v>
      </c>
      <c r="V16" s="13">
        <f t="shared" si="5"/>
        <v>7722.9677419354848</v>
      </c>
      <c r="X16" s="13">
        <f t="shared" si="13"/>
        <v>7722.9677419354848</v>
      </c>
      <c r="Y16" s="12">
        <f t="shared" si="14"/>
        <v>509.03225806451616</v>
      </c>
      <c r="Z16" s="12">
        <f t="shared" si="6"/>
        <v>405</v>
      </c>
      <c r="AA16" s="1">
        <f t="shared" si="15"/>
        <v>0</v>
      </c>
      <c r="AB16" s="16">
        <f t="shared" si="24"/>
        <v>914.0322580645161</v>
      </c>
      <c r="AC16" s="16">
        <f t="shared" si="8"/>
        <v>9425.5161290322576</v>
      </c>
    </row>
    <row r="17" spans="1:29" x14ac:dyDescent="0.2">
      <c r="A17" s="10" t="s">
        <v>124</v>
      </c>
      <c r="B17" s="11">
        <f t="shared" si="16"/>
        <v>12</v>
      </c>
      <c r="C17" s="11" t="s">
        <v>110</v>
      </c>
      <c r="D17" s="11" t="s">
        <v>51</v>
      </c>
      <c r="E17" s="11" t="s">
        <v>238</v>
      </c>
      <c r="F17" s="22">
        <v>42601</v>
      </c>
      <c r="G17" s="11">
        <v>26</v>
      </c>
      <c r="H17" s="13">
        <f t="shared" si="0"/>
        <v>4193.5483870967737</v>
      </c>
      <c r="I17" s="13">
        <f t="shared" si="9"/>
        <v>0</v>
      </c>
      <c r="J17" s="13">
        <f t="shared" si="1"/>
        <v>209.67741935483869</v>
      </c>
      <c r="L17" s="13">
        <f t="shared" si="10"/>
        <v>670.96774193548379</v>
      </c>
      <c r="N17" s="13">
        <f>((6114-164+611)/G$3)*G17</f>
        <v>5502.7741935483873</v>
      </c>
      <c r="O17" s="13">
        <v>339</v>
      </c>
      <c r="P17" s="13">
        <f t="shared" si="11"/>
        <v>10915.967741935485</v>
      </c>
      <c r="Q17" s="12">
        <f t="shared" si="2"/>
        <v>503.22580645161281</v>
      </c>
      <c r="R17" s="12">
        <f t="shared" si="3"/>
        <v>192</v>
      </c>
      <c r="S17" s="21">
        <f t="shared" si="12"/>
        <v>200</v>
      </c>
      <c r="T17" s="13">
        <v>0</v>
      </c>
      <c r="U17" s="13">
        <f t="shared" ref="U17" si="25">SUM(Q17:T17)</f>
        <v>895.22580645161281</v>
      </c>
      <c r="V17" s="13">
        <f t="shared" si="5"/>
        <v>10020.741935483871</v>
      </c>
      <c r="X17" s="13">
        <f t="shared" si="13"/>
        <v>10020.741935483871</v>
      </c>
      <c r="Y17" s="12">
        <f t="shared" si="14"/>
        <v>551.45161290322574</v>
      </c>
      <c r="Z17" s="12">
        <f t="shared" si="6"/>
        <v>519</v>
      </c>
      <c r="AA17" s="1">
        <f t="shared" si="15"/>
        <v>0</v>
      </c>
      <c r="AB17" s="16">
        <f t="shared" ref="AB17" si="26">SUM(Y17:AA17)</f>
        <v>1070.4516129032259</v>
      </c>
      <c r="AC17" s="16">
        <f t="shared" si="8"/>
        <v>11986.41935483871</v>
      </c>
    </row>
    <row r="18" spans="1:29" x14ac:dyDescent="0.2">
      <c r="A18" s="10" t="s">
        <v>125</v>
      </c>
      <c r="B18" s="11">
        <f t="shared" si="16"/>
        <v>13</v>
      </c>
      <c r="C18" s="11" t="s">
        <v>111</v>
      </c>
      <c r="D18" s="11" t="s">
        <v>51</v>
      </c>
      <c r="E18" s="11" t="s">
        <v>236</v>
      </c>
      <c r="F18" s="22">
        <v>42601</v>
      </c>
      <c r="G18" s="11">
        <v>37</v>
      </c>
      <c r="H18" s="13">
        <f t="shared" si="0"/>
        <v>5967.7419354838703</v>
      </c>
      <c r="I18" s="13">
        <f t="shared" si="9"/>
        <v>0</v>
      </c>
      <c r="J18" s="13">
        <f t="shared" si="1"/>
        <v>298.38709677419354</v>
      </c>
      <c r="L18" s="13">
        <f t="shared" si="10"/>
        <v>954.83870967741927</v>
      </c>
      <c r="N18" s="13">
        <f>((3950+611)/G$3)*G18</f>
        <v>5443.7741935483873</v>
      </c>
      <c r="O18" s="13">
        <v>1000</v>
      </c>
      <c r="P18" s="13">
        <f t="shared" si="11"/>
        <v>13664.741935483871</v>
      </c>
      <c r="Q18" s="12">
        <f t="shared" si="2"/>
        <v>716.1290322580644</v>
      </c>
      <c r="R18" s="12">
        <f t="shared" si="3"/>
        <v>240</v>
      </c>
      <c r="S18" s="21">
        <f t="shared" si="12"/>
        <v>200</v>
      </c>
      <c r="T18" s="13">
        <v>0</v>
      </c>
      <c r="U18" s="13">
        <f t="shared" ref="U18:U19" si="27">SUM(Q18:T18)</f>
        <v>1156.1290322580644</v>
      </c>
      <c r="V18" s="13">
        <f t="shared" si="5"/>
        <v>12508.612903225807</v>
      </c>
      <c r="X18" s="13">
        <f t="shared" si="13"/>
        <v>12508.612903225807</v>
      </c>
      <c r="Y18" s="12">
        <f t="shared" si="14"/>
        <v>784.75806451612902</v>
      </c>
      <c r="Z18" s="12">
        <f t="shared" si="6"/>
        <v>650</v>
      </c>
      <c r="AA18" s="1">
        <f t="shared" si="15"/>
        <v>0</v>
      </c>
      <c r="AB18" s="16">
        <f t="shared" ref="AB18:AB19" si="28">SUM(Y18:AA18)</f>
        <v>1434.758064516129</v>
      </c>
      <c r="AC18" s="16">
        <f t="shared" si="8"/>
        <v>15099.5</v>
      </c>
    </row>
    <row r="19" spans="1:29" x14ac:dyDescent="0.2">
      <c r="A19" s="10" t="s">
        <v>126</v>
      </c>
      <c r="B19" s="11">
        <f t="shared" si="16"/>
        <v>14</v>
      </c>
      <c r="C19" s="11" t="s">
        <v>112</v>
      </c>
      <c r="D19" s="11" t="s">
        <v>51</v>
      </c>
      <c r="E19" s="11" t="s">
        <v>236</v>
      </c>
      <c r="F19" s="22">
        <v>42601</v>
      </c>
      <c r="G19" s="11">
        <v>37</v>
      </c>
      <c r="H19" s="13">
        <f t="shared" si="0"/>
        <v>5967.7419354838703</v>
      </c>
      <c r="I19" s="13">
        <f t="shared" si="9"/>
        <v>0</v>
      </c>
      <c r="J19" s="13">
        <f t="shared" si="1"/>
        <v>298.38709677419354</v>
      </c>
      <c r="L19" s="13">
        <f t="shared" si="10"/>
        <v>954.83870967741927</v>
      </c>
      <c r="N19" s="13">
        <f>((3950+611)/G$3)*G19</f>
        <v>5443.7741935483873</v>
      </c>
      <c r="O19" s="13">
        <v>1000</v>
      </c>
      <c r="P19" s="13">
        <f t="shared" si="11"/>
        <v>13664.741935483871</v>
      </c>
      <c r="Q19" s="12">
        <f t="shared" si="2"/>
        <v>716.1290322580644</v>
      </c>
      <c r="R19" s="12">
        <f t="shared" si="3"/>
        <v>240</v>
      </c>
      <c r="S19" s="21">
        <f t="shared" si="12"/>
        <v>200</v>
      </c>
      <c r="T19" s="13">
        <v>0</v>
      </c>
      <c r="U19" s="13">
        <f t="shared" si="27"/>
        <v>1156.1290322580644</v>
      </c>
      <c r="V19" s="13">
        <f t="shared" si="5"/>
        <v>12508.612903225807</v>
      </c>
      <c r="X19" s="13">
        <f t="shared" si="13"/>
        <v>12508.612903225807</v>
      </c>
      <c r="Y19" s="12">
        <f t="shared" si="14"/>
        <v>784.75806451612902</v>
      </c>
      <c r="Z19" s="12">
        <f t="shared" si="6"/>
        <v>650</v>
      </c>
      <c r="AA19" s="1">
        <f t="shared" si="15"/>
        <v>0</v>
      </c>
      <c r="AB19" s="16">
        <f t="shared" si="28"/>
        <v>1434.758064516129</v>
      </c>
      <c r="AC19" s="16">
        <f t="shared" si="8"/>
        <v>15099.5</v>
      </c>
    </row>
    <row r="20" spans="1:29" x14ac:dyDescent="0.2">
      <c r="A20" s="10" t="s">
        <v>158</v>
      </c>
      <c r="B20" s="11">
        <f t="shared" si="16"/>
        <v>15</v>
      </c>
      <c r="C20" s="11" t="s">
        <v>134</v>
      </c>
      <c r="D20" s="11" t="s">
        <v>51</v>
      </c>
      <c r="E20" s="11" t="s">
        <v>660</v>
      </c>
      <c r="F20" s="22">
        <v>42697</v>
      </c>
      <c r="G20" s="11">
        <v>37</v>
      </c>
      <c r="H20" s="13">
        <f t="shared" si="0"/>
        <v>5967.7419354838703</v>
      </c>
      <c r="I20" s="13">
        <f t="shared" si="9"/>
        <v>0</v>
      </c>
      <c r="J20" s="13">
        <f t="shared" si="1"/>
        <v>298.38709677419354</v>
      </c>
      <c r="L20" s="13">
        <f t="shared" si="10"/>
        <v>954.83870967741927</v>
      </c>
      <c r="N20" s="13">
        <f>((2950+5000+611)/G$3)*G20</f>
        <v>10217.967741935485</v>
      </c>
      <c r="O20" s="13">
        <v>1000</v>
      </c>
      <c r="P20" s="13">
        <f t="shared" si="11"/>
        <v>18438.93548387097</v>
      </c>
      <c r="Q20" s="12">
        <f t="shared" si="2"/>
        <v>716.1290322580644</v>
      </c>
      <c r="R20" s="12">
        <f t="shared" si="3"/>
        <v>323</v>
      </c>
      <c r="S20" s="21">
        <f t="shared" si="12"/>
        <v>200</v>
      </c>
      <c r="T20" s="13">
        <v>0</v>
      </c>
      <c r="U20" s="13">
        <f t="shared" ref="U20" si="29">SUM(Q20:T20)</f>
        <v>1239.1290322580644</v>
      </c>
      <c r="V20" s="13">
        <f t="shared" si="5"/>
        <v>17199.806451612905</v>
      </c>
      <c r="X20" s="13">
        <f t="shared" si="13"/>
        <v>17199.806451612905</v>
      </c>
      <c r="Y20" s="12">
        <f t="shared" si="14"/>
        <v>784.75806451612902</v>
      </c>
      <c r="Z20" s="12">
        <f t="shared" si="6"/>
        <v>876</v>
      </c>
      <c r="AA20" s="1">
        <f t="shared" si="15"/>
        <v>0</v>
      </c>
      <c r="AB20" s="16">
        <f t="shared" ref="AB20" si="30">SUM(Y20:AA20)</f>
        <v>1660.758064516129</v>
      </c>
      <c r="AC20" s="16">
        <f t="shared" si="8"/>
        <v>20099.693548387098</v>
      </c>
    </row>
    <row r="21" spans="1:29" x14ac:dyDescent="0.2">
      <c r="A21" s="10" t="s">
        <v>177</v>
      </c>
      <c r="B21" s="11">
        <f t="shared" si="16"/>
        <v>16</v>
      </c>
      <c r="C21" s="11" t="s">
        <v>145</v>
      </c>
      <c r="D21" s="11" t="s">
        <v>51</v>
      </c>
      <c r="E21" s="11" t="s">
        <v>658</v>
      </c>
      <c r="F21" s="22">
        <v>42705</v>
      </c>
      <c r="G21" s="11">
        <v>32</v>
      </c>
      <c r="H21" s="13">
        <f t="shared" si="0"/>
        <v>5161.2903225806449</v>
      </c>
      <c r="I21" s="13">
        <f t="shared" si="9"/>
        <v>0</v>
      </c>
      <c r="J21" s="13">
        <f t="shared" si="1"/>
        <v>258.06451612903226</v>
      </c>
      <c r="L21" s="13">
        <f t="shared" si="10"/>
        <v>825.80645161290317</v>
      </c>
      <c r="N21" s="13">
        <f>((1950+1000+611+1383)/G$3)*G21</f>
        <v>5103.4838709677415</v>
      </c>
      <c r="P21" s="13">
        <f t="shared" si="11"/>
        <v>11348.645161290322</v>
      </c>
      <c r="Q21" s="12">
        <f t="shared" si="2"/>
        <v>619.35483870967732</v>
      </c>
      <c r="R21" s="12">
        <f t="shared" si="3"/>
        <v>199</v>
      </c>
      <c r="S21" s="21">
        <f t="shared" si="12"/>
        <v>200</v>
      </c>
      <c r="T21" s="13">
        <v>0</v>
      </c>
      <c r="U21" s="13">
        <f t="shared" ref="U21:U29" si="31">SUM(Q21:T21)</f>
        <v>1018.3548387096773</v>
      </c>
      <c r="V21" s="13">
        <f t="shared" si="5"/>
        <v>10330.290322580644</v>
      </c>
      <c r="X21" s="13">
        <f t="shared" si="13"/>
        <v>10330.290322580644</v>
      </c>
      <c r="Y21" s="12">
        <f t="shared" si="14"/>
        <v>678.70967741935488</v>
      </c>
      <c r="Z21" s="12">
        <f t="shared" si="6"/>
        <v>540</v>
      </c>
      <c r="AA21" s="1">
        <f t="shared" si="15"/>
        <v>0</v>
      </c>
      <c r="AB21" s="16">
        <f t="shared" ref="AB21:AB29" si="32">SUM(Y21:AA21)</f>
        <v>1218.7096774193549</v>
      </c>
      <c r="AC21" s="16">
        <f t="shared" si="8"/>
        <v>12567.354838709676</v>
      </c>
    </row>
    <row r="22" spans="1:29" x14ac:dyDescent="0.2">
      <c r="A22" s="10" t="s">
        <v>178</v>
      </c>
      <c r="B22" s="11">
        <f t="shared" si="16"/>
        <v>17</v>
      </c>
      <c r="C22" s="11" t="s">
        <v>146</v>
      </c>
      <c r="D22" s="11" t="s">
        <v>51</v>
      </c>
      <c r="E22" s="11" t="s">
        <v>238</v>
      </c>
      <c r="F22" s="22">
        <v>42705</v>
      </c>
      <c r="G22" s="11">
        <v>38</v>
      </c>
      <c r="H22" s="13">
        <f t="shared" si="0"/>
        <v>6129.0322580645161</v>
      </c>
      <c r="I22" s="13">
        <f t="shared" si="9"/>
        <v>0</v>
      </c>
      <c r="J22" s="13">
        <f t="shared" si="1"/>
        <v>306.45161290322579</v>
      </c>
      <c r="L22" s="13">
        <f t="shared" si="10"/>
        <v>980.64516129032256</v>
      </c>
      <c r="N22" s="13">
        <f>((1950+1000+611+1383)/G$3)*G22</f>
        <v>6060.3870967741932</v>
      </c>
      <c r="O22" s="13">
        <v>1000</v>
      </c>
      <c r="P22" s="13">
        <f t="shared" si="11"/>
        <v>14476.516129032258</v>
      </c>
      <c r="Q22" s="12">
        <f t="shared" si="2"/>
        <v>735.48387096774195</v>
      </c>
      <c r="R22" s="12">
        <f t="shared" si="3"/>
        <v>254</v>
      </c>
      <c r="S22" s="21">
        <f t="shared" si="12"/>
        <v>200</v>
      </c>
      <c r="T22" s="13">
        <v>0</v>
      </c>
      <c r="U22" s="13">
        <f t="shared" si="31"/>
        <v>1189.483870967742</v>
      </c>
      <c r="V22" s="13">
        <f t="shared" si="5"/>
        <v>13287.032258064515</v>
      </c>
      <c r="X22" s="13">
        <f t="shared" si="13"/>
        <v>13287.032258064515</v>
      </c>
      <c r="Y22" s="12">
        <f t="shared" si="14"/>
        <v>805.9677419354839</v>
      </c>
      <c r="Z22" s="12">
        <f t="shared" si="6"/>
        <v>688</v>
      </c>
      <c r="AA22" s="1">
        <f t="shared" si="15"/>
        <v>0</v>
      </c>
      <c r="AB22" s="16">
        <f t="shared" si="32"/>
        <v>1493.9677419354839</v>
      </c>
      <c r="AC22" s="16">
        <f t="shared" si="8"/>
        <v>15970.483870967742</v>
      </c>
    </row>
    <row r="23" spans="1:29" x14ac:dyDescent="0.2">
      <c r="A23" s="10" t="s">
        <v>179</v>
      </c>
      <c r="B23" s="11">
        <f t="shared" si="16"/>
        <v>18</v>
      </c>
      <c r="C23" s="32" t="s">
        <v>147</v>
      </c>
      <c r="D23" s="11" t="s">
        <v>51</v>
      </c>
      <c r="E23" s="11" t="s">
        <v>658</v>
      </c>
      <c r="F23" s="22">
        <v>42729</v>
      </c>
      <c r="G23" s="11">
        <v>23</v>
      </c>
      <c r="H23" s="13">
        <f t="shared" si="0"/>
        <v>3709.6774193548385</v>
      </c>
      <c r="I23" s="13">
        <f t="shared" si="9"/>
        <v>0</v>
      </c>
      <c r="J23" s="13">
        <f t="shared" si="1"/>
        <v>185.48387096774195</v>
      </c>
      <c r="L23" s="13">
        <f t="shared" si="10"/>
        <v>593.54838709677415</v>
      </c>
      <c r="N23" s="13">
        <f>((1950+1000+611+1383)/G$3)*G23</f>
        <v>3668.1290322580644</v>
      </c>
      <c r="P23" s="13">
        <f t="shared" si="11"/>
        <v>8156.8387096774186</v>
      </c>
      <c r="Q23" s="12">
        <f t="shared" si="2"/>
        <v>445.16129032258061</v>
      </c>
      <c r="R23" s="12">
        <f t="shared" si="3"/>
        <v>143</v>
      </c>
      <c r="S23" s="21">
        <f t="shared" si="12"/>
        <v>175</v>
      </c>
      <c r="T23" s="13">
        <v>0</v>
      </c>
      <c r="U23" s="13">
        <f t="shared" si="31"/>
        <v>763.16129032258061</v>
      </c>
      <c r="V23" s="13">
        <f t="shared" si="5"/>
        <v>7393.6774193548381</v>
      </c>
      <c r="X23" s="13">
        <f t="shared" si="13"/>
        <v>7393.6774193548381</v>
      </c>
      <c r="Y23" s="12">
        <f t="shared" si="14"/>
        <v>487.82258064516128</v>
      </c>
      <c r="Z23" s="12">
        <f t="shared" si="6"/>
        <v>388</v>
      </c>
      <c r="AA23" s="1">
        <f t="shared" si="15"/>
        <v>0</v>
      </c>
      <c r="AB23" s="16">
        <f t="shared" si="32"/>
        <v>875.82258064516122</v>
      </c>
      <c r="AC23" s="16">
        <f t="shared" si="8"/>
        <v>9032.6612903225796</v>
      </c>
    </row>
    <row r="24" spans="1:29" x14ac:dyDescent="0.2">
      <c r="A24" s="10" t="s">
        <v>180</v>
      </c>
      <c r="B24" s="11">
        <f t="shared" si="16"/>
        <v>19</v>
      </c>
      <c r="C24" s="11" t="s">
        <v>148</v>
      </c>
      <c r="D24" s="11" t="s">
        <v>51</v>
      </c>
      <c r="E24" s="11" t="s">
        <v>581</v>
      </c>
      <c r="F24" s="22">
        <v>42729</v>
      </c>
      <c r="G24" s="11">
        <v>34</v>
      </c>
      <c r="H24" s="13">
        <f t="shared" si="0"/>
        <v>5483.8709677419356</v>
      </c>
      <c r="I24" s="13">
        <f t="shared" si="9"/>
        <v>0</v>
      </c>
      <c r="J24" s="13">
        <f t="shared" si="1"/>
        <v>274.19354838709677</v>
      </c>
      <c r="L24" s="13">
        <f t="shared" si="10"/>
        <v>877.41935483870964</v>
      </c>
      <c r="N24" s="13">
        <f>((2950+2000+611)/G$3)*G24</f>
        <v>6099.1612903225805</v>
      </c>
      <c r="P24" s="13">
        <f t="shared" si="11"/>
        <v>12734.645161290322</v>
      </c>
      <c r="Q24" s="12">
        <f t="shared" si="2"/>
        <v>658.0645161290322</v>
      </c>
      <c r="R24" s="12">
        <f t="shared" si="3"/>
        <v>223</v>
      </c>
      <c r="S24" s="21">
        <f t="shared" si="12"/>
        <v>200</v>
      </c>
      <c r="T24" s="13">
        <v>0</v>
      </c>
      <c r="U24" s="13">
        <f t="shared" si="31"/>
        <v>1081.0645161290322</v>
      </c>
      <c r="V24" s="13">
        <f t="shared" si="5"/>
        <v>11653.58064516129</v>
      </c>
      <c r="X24" s="13">
        <f t="shared" si="13"/>
        <v>11653.58064516129</v>
      </c>
      <c r="Y24" s="12">
        <f t="shared" si="14"/>
        <v>721.12903225806451</v>
      </c>
      <c r="Z24" s="12">
        <f t="shared" si="6"/>
        <v>605</v>
      </c>
      <c r="AA24" s="1">
        <f t="shared" si="15"/>
        <v>0</v>
      </c>
      <c r="AB24" s="16">
        <f t="shared" si="32"/>
        <v>1326.1290322580644</v>
      </c>
      <c r="AC24" s="16">
        <f t="shared" si="8"/>
        <v>14060.774193548386</v>
      </c>
    </row>
    <row r="25" spans="1:29" x14ac:dyDescent="0.2">
      <c r="A25" s="10" t="s">
        <v>181</v>
      </c>
      <c r="B25" s="11">
        <f t="shared" si="16"/>
        <v>20</v>
      </c>
      <c r="C25" s="11" t="s">
        <v>431</v>
      </c>
      <c r="D25" s="11" t="s">
        <v>51</v>
      </c>
      <c r="E25" s="11" t="s">
        <v>658</v>
      </c>
      <c r="F25" s="22">
        <v>42729</v>
      </c>
      <c r="G25" s="11">
        <v>33</v>
      </c>
      <c r="H25" s="13">
        <f t="shared" si="0"/>
        <v>5322.5806451612898</v>
      </c>
      <c r="I25" s="13">
        <f t="shared" si="9"/>
        <v>0</v>
      </c>
      <c r="J25" s="13">
        <f t="shared" si="1"/>
        <v>266.12903225806451</v>
      </c>
      <c r="L25" s="13">
        <f t="shared" si="10"/>
        <v>851.61290322580635</v>
      </c>
      <c r="N25" s="13">
        <f>((1950+1000+611+1383)/G$3)*G25</f>
        <v>5262.967741935483</v>
      </c>
      <c r="O25" s="13">
        <v>1000</v>
      </c>
      <c r="P25" s="13">
        <f t="shared" si="11"/>
        <v>12703.290322580644</v>
      </c>
      <c r="Q25" s="12">
        <f t="shared" si="2"/>
        <v>638.70967741935476</v>
      </c>
      <c r="R25" s="12">
        <f t="shared" si="3"/>
        <v>223</v>
      </c>
      <c r="S25" s="21">
        <f t="shared" si="12"/>
        <v>200</v>
      </c>
      <c r="T25" s="13">
        <v>0</v>
      </c>
      <c r="U25" s="13">
        <f t="shared" si="31"/>
        <v>1061.7096774193546</v>
      </c>
      <c r="V25" s="13">
        <f t="shared" si="5"/>
        <v>11641.58064516129</v>
      </c>
      <c r="X25" s="13">
        <f t="shared" si="13"/>
        <v>11641.58064516129</v>
      </c>
      <c r="Y25" s="12">
        <f t="shared" si="14"/>
        <v>699.91935483870964</v>
      </c>
      <c r="Z25" s="12">
        <f t="shared" si="6"/>
        <v>604</v>
      </c>
      <c r="AA25" s="1">
        <f t="shared" si="15"/>
        <v>0</v>
      </c>
      <c r="AB25" s="16">
        <f t="shared" si="32"/>
        <v>1303.9193548387098</v>
      </c>
      <c r="AC25" s="16">
        <f t="shared" si="8"/>
        <v>14007.209677419354</v>
      </c>
    </row>
    <row r="26" spans="1:29" x14ac:dyDescent="0.2">
      <c r="A26" s="10" t="s">
        <v>194</v>
      </c>
      <c r="B26" s="11">
        <f t="shared" si="16"/>
        <v>21</v>
      </c>
      <c r="C26" s="11" t="s">
        <v>171</v>
      </c>
      <c r="D26" s="11" t="s">
        <v>51</v>
      </c>
      <c r="E26" s="11" t="s">
        <v>658</v>
      </c>
      <c r="F26" s="22">
        <v>42739</v>
      </c>
      <c r="G26" s="11">
        <v>33</v>
      </c>
      <c r="H26" s="13">
        <f t="shared" si="0"/>
        <v>5322.5806451612898</v>
      </c>
      <c r="I26" s="13">
        <f t="shared" si="9"/>
        <v>0</v>
      </c>
      <c r="J26" s="13">
        <f t="shared" si="1"/>
        <v>266.12903225806451</v>
      </c>
      <c r="L26" s="13">
        <f t="shared" si="10"/>
        <v>851.61290322580635</v>
      </c>
      <c r="N26" s="13">
        <f>((1950+1000+611+1383)/G$3)*G26</f>
        <v>5262.967741935483</v>
      </c>
      <c r="P26" s="13">
        <f t="shared" si="11"/>
        <v>11703.290322580644</v>
      </c>
      <c r="Q26" s="12">
        <f t="shared" si="2"/>
        <v>638.70967741935476</v>
      </c>
      <c r="R26" s="12">
        <f t="shared" si="3"/>
        <v>205</v>
      </c>
      <c r="S26" s="21">
        <f t="shared" si="12"/>
        <v>200</v>
      </c>
      <c r="T26" s="13">
        <v>0</v>
      </c>
      <c r="U26" s="13">
        <f t="shared" si="31"/>
        <v>1043.7096774193546</v>
      </c>
      <c r="V26" s="13">
        <f t="shared" si="5"/>
        <v>10659.58064516129</v>
      </c>
      <c r="X26" s="13">
        <f t="shared" si="13"/>
        <v>10659.58064516129</v>
      </c>
      <c r="Y26" s="12">
        <f t="shared" si="14"/>
        <v>699.91935483870964</v>
      </c>
      <c r="Z26" s="12">
        <f t="shared" si="6"/>
        <v>556</v>
      </c>
      <c r="AA26" s="1">
        <f t="shared" si="15"/>
        <v>0</v>
      </c>
      <c r="AB26" s="16">
        <f t="shared" si="32"/>
        <v>1255.9193548387098</v>
      </c>
      <c r="AC26" s="16">
        <f t="shared" si="8"/>
        <v>12959.209677419354</v>
      </c>
    </row>
    <row r="27" spans="1:29" x14ac:dyDescent="0.2">
      <c r="A27" s="10" t="s">
        <v>195</v>
      </c>
      <c r="B27" s="11">
        <f t="shared" si="16"/>
        <v>22</v>
      </c>
      <c r="C27" s="11" t="s">
        <v>172</v>
      </c>
      <c r="D27" s="11" t="s">
        <v>51</v>
      </c>
      <c r="E27" s="11" t="s">
        <v>236</v>
      </c>
      <c r="F27" s="22">
        <v>42739</v>
      </c>
      <c r="G27" s="11">
        <v>32</v>
      </c>
      <c r="H27" s="13">
        <f t="shared" si="0"/>
        <v>5161.2903225806449</v>
      </c>
      <c r="I27" s="13">
        <f t="shared" si="9"/>
        <v>0</v>
      </c>
      <c r="J27" s="13">
        <f t="shared" si="1"/>
        <v>258.06451612903226</v>
      </c>
      <c r="L27" s="13">
        <f t="shared" si="10"/>
        <v>825.80645161290317</v>
      </c>
      <c r="N27" s="13">
        <f t="shared" ref="N27:N28" si="33">((2950)/G$3)*G27</f>
        <v>3045.1612903225805</v>
      </c>
      <c r="P27" s="13">
        <f t="shared" si="11"/>
        <v>9290.322580645161</v>
      </c>
      <c r="Q27" s="12">
        <f t="shared" si="2"/>
        <v>619.35483870967732</v>
      </c>
      <c r="R27" s="12">
        <f t="shared" si="3"/>
        <v>163</v>
      </c>
      <c r="S27" s="21">
        <f t="shared" si="12"/>
        <v>175</v>
      </c>
      <c r="T27" s="13">
        <v>0</v>
      </c>
      <c r="U27" s="13">
        <f t="shared" si="31"/>
        <v>957.35483870967732</v>
      </c>
      <c r="V27" s="13">
        <f t="shared" si="5"/>
        <v>8332.967741935483</v>
      </c>
      <c r="X27" s="13">
        <f t="shared" si="13"/>
        <v>8332.967741935483</v>
      </c>
      <c r="Y27" s="12">
        <f t="shared" si="14"/>
        <v>678.70967741935488</v>
      </c>
      <c r="Z27" s="12">
        <f t="shared" si="6"/>
        <v>442</v>
      </c>
      <c r="AA27" s="1">
        <f t="shared" si="15"/>
        <v>0</v>
      </c>
      <c r="AB27" s="16">
        <f t="shared" si="32"/>
        <v>1120.7096774193549</v>
      </c>
      <c r="AC27" s="16">
        <f t="shared" si="8"/>
        <v>10411.032258064515</v>
      </c>
    </row>
    <row r="28" spans="1:29" x14ac:dyDescent="0.2">
      <c r="A28" s="10" t="s">
        <v>196</v>
      </c>
      <c r="B28" s="11">
        <f t="shared" si="16"/>
        <v>23</v>
      </c>
      <c r="C28" s="11" t="s">
        <v>173</v>
      </c>
      <c r="D28" s="11" t="s">
        <v>51</v>
      </c>
      <c r="E28" s="11" t="s">
        <v>236</v>
      </c>
      <c r="F28" s="22">
        <v>42739</v>
      </c>
      <c r="G28" s="11">
        <v>37</v>
      </c>
      <c r="H28" s="13">
        <f t="shared" si="0"/>
        <v>5967.7419354838703</v>
      </c>
      <c r="I28" s="13">
        <f t="shared" si="9"/>
        <v>0</v>
      </c>
      <c r="J28" s="13">
        <f t="shared" si="1"/>
        <v>298.38709677419354</v>
      </c>
      <c r="L28" s="13">
        <f t="shared" si="10"/>
        <v>954.83870967741927</v>
      </c>
      <c r="N28" s="13">
        <f t="shared" si="33"/>
        <v>3520.9677419354839</v>
      </c>
      <c r="O28" s="13">
        <v>1000</v>
      </c>
      <c r="P28" s="13">
        <f t="shared" si="11"/>
        <v>11741.935483870966</v>
      </c>
      <c r="Q28" s="12">
        <f t="shared" si="2"/>
        <v>716.1290322580644</v>
      </c>
      <c r="R28" s="12">
        <f t="shared" si="3"/>
        <v>206</v>
      </c>
      <c r="S28" s="21">
        <f t="shared" si="12"/>
        <v>200</v>
      </c>
      <c r="T28" s="13">
        <v>0</v>
      </c>
      <c r="U28" s="13">
        <f t="shared" si="31"/>
        <v>1122.1290322580644</v>
      </c>
      <c r="V28" s="13">
        <f t="shared" si="5"/>
        <v>10619.806451612902</v>
      </c>
      <c r="X28" s="13">
        <f t="shared" si="13"/>
        <v>10619.806451612902</v>
      </c>
      <c r="Y28" s="12">
        <f t="shared" si="14"/>
        <v>784.75806451612902</v>
      </c>
      <c r="Z28" s="12">
        <f t="shared" si="6"/>
        <v>558</v>
      </c>
      <c r="AA28" s="1">
        <f t="shared" si="15"/>
        <v>0</v>
      </c>
      <c r="AB28" s="16">
        <f t="shared" si="32"/>
        <v>1342.758064516129</v>
      </c>
      <c r="AC28" s="16">
        <f t="shared" si="8"/>
        <v>13084.693548387095</v>
      </c>
    </row>
    <row r="29" spans="1:29" x14ac:dyDescent="0.2">
      <c r="A29" s="10" t="s">
        <v>197</v>
      </c>
      <c r="B29" s="11">
        <f t="shared" si="16"/>
        <v>24</v>
      </c>
      <c r="C29" s="11" t="s">
        <v>243</v>
      </c>
      <c r="D29" s="11" t="s">
        <v>51</v>
      </c>
      <c r="E29" s="11" t="s">
        <v>658</v>
      </c>
      <c r="F29" s="22">
        <v>42739</v>
      </c>
      <c r="G29" s="11">
        <v>34</v>
      </c>
      <c r="H29" s="13">
        <f t="shared" si="0"/>
        <v>5483.8709677419356</v>
      </c>
      <c r="I29" s="13">
        <f t="shared" si="9"/>
        <v>0</v>
      </c>
      <c r="J29" s="13">
        <f t="shared" si="1"/>
        <v>274.19354838709677</v>
      </c>
      <c r="L29" s="13">
        <f t="shared" si="10"/>
        <v>877.41935483870964</v>
      </c>
      <c r="N29" s="13">
        <f>((1950+1000+611+1383)/G$3)*G29</f>
        <v>5422.4516129032254</v>
      </c>
      <c r="P29" s="13">
        <f t="shared" si="11"/>
        <v>12057.935483870966</v>
      </c>
      <c r="Q29" s="12">
        <f t="shared" si="2"/>
        <v>658.0645161290322</v>
      </c>
      <c r="R29" s="12">
        <f t="shared" si="3"/>
        <v>212</v>
      </c>
      <c r="S29" s="21">
        <f t="shared" si="12"/>
        <v>200</v>
      </c>
      <c r="T29" s="13">
        <v>0</v>
      </c>
      <c r="U29" s="13">
        <f t="shared" si="31"/>
        <v>1070.0645161290322</v>
      </c>
      <c r="V29" s="13">
        <f t="shared" si="5"/>
        <v>10987.870967741934</v>
      </c>
      <c r="X29" s="13">
        <f t="shared" si="13"/>
        <v>10987.870967741934</v>
      </c>
      <c r="Y29" s="12">
        <f t="shared" si="14"/>
        <v>721.12903225806451</v>
      </c>
      <c r="Z29" s="12">
        <f t="shared" si="6"/>
        <v>573</v>
      </c>
      <c r="AA29" s="1">
        <f t="shared" si="15"/>
        <v>0</v>
      </c>
      <c r="AB29" s="16">
        <f t="shared" si="32"/>
        <v>1294.1290322580644</v>
      </c>
      <c r="AC29" s="16">
        <f t="shared" si="8"/>
        <v>13352.06451612903</v>
      </c>
    </row>
    <row r="30" spans="1:29" x14ac:dyDescent="0.2">
      <c r="A30" s="10" t="s">
        <v>253</v>
      </c>
      <c r="B30" s="11">
        <f t="shared" si="16"/>
        <v>25</v>
      </c>
      <c r="C30" s="11" t="s">
        <v>201</v>
      </c>
      <c r="D30" s="11" t="s">
        <v>51</v>
      </c>
      <c r="E30" s="11" t="s">
        <v>658</v>
      </c>
      <c r="F30" s="22">
        <v>42767</v>
      </c>
      <c r="G30" s="11">
        <v>34</v>
      </c>
      <c r="H30" s="13">
        <f t="shared" si="0"/>
        <v>5483.8709677419356</v>
      </c>
      <c r="I30" s="13">
        <f t="shared" si="9"/>
        <v>0</v>
      </c>
      <c r="J30" s="13">
        <f t="shared" si="1"/>
        <v>274.19354838709677</v>
      </c>
      <c r="L30" s="13">
        <f t="shared" si="10"/>
        <v>877.41935483870964</v>
      </c>
      <c r="N30" s="13">
        <f>((1950+1000+611+1383)/G$3)*G30</f>
        <v>5422.4516129032254</v>
      </c>
      <c r="P30" s="13">
        <f t="shared" si="11"/>
        <v>12057.935483870966</v>
      </c>
      <c r="Q30" s="12">
        <f t="shared" si="2"/>
        <v>658.0645161290322</v>
      </c>
      <c r="R30" s="12">
        <f t="shared" si="3"/>
        <v>212</v>
      </c>
      <c r="S30" s="21">
        <f t="shared" si="12"/>
        <v>200</v>
      </c>
      <c r="T30" s="13">
        <v>0</v>
      </c>
      <c r="U30" s="13">
        <f t="shared" ref="U30:U93" si="34">SUM(Q30:T30)</f>
        <v>1070.0645161290322</v>
      </c>
      <c r="V30" s="13">
        <f t="shared" si="5"/>
        <v>10987.870967741934</v>
      </c>
      <c r="X30" s="13">
        <f t="shared" si="13"/>
        <v>10987.870967741934</v>
      </c>
      <c r="Y30" s="12">
        <f t="shared" si="14"/>
        <v>721.12903225806451</v>
      </c>
      <c r="Z30" s="12">
        <f t="shared" si="6"/>
        <v>573</v>
      </c>
      <c r="AA30" s="1">
        <f t="shared" si="15"/>
        <v>0</v>
      </c>
      <c r="AB30" s="16">
        <f t="shared" ref="AB30:AB47" si="35">SUM(Y30:AA30)</f>
        <v>1294.1290322580644</v>
      </c>
      <c r="AC30" s="16">
        <f t="shared" si="8"/>
        <v>13352.06451612903</v>
      </c>
    </row>
    <row r="31" spans="1:29" x14ac:dyDescent="0.2">
      <c r="A31" s="10" t="s">
        <v>245</v>
      </c>
      <c r="B31" s="11">
        <f t="shared" si="16"/>
        <v>26</v>
      </c>
      <c r="C31" s="11" t="s">
        <v>244</v>
      </c>
      <c r="D31" s="11" t="s">
        <v>51</v>
      </c>
      <c r="E31" s="11" t="s">
        <v>657</v>
      </c>
      <c r="F31" s="22">
        <v>42767</v>
      </c>
      <c r="G31" s="11">
        <v>32</v>
      </c>
      <c r="H31" s="13">
        <f t="shared" si="0"/>
        <v>5161.2903225806449</v>
      </c>
      <c r="I31" s="13">
        <f t="shared" si="9"/>
        <v>0</v>
      </c>
      <c r="J31" s="13">
        <f t="shared" si="1"/>
        <v>258.06451612903226</v>
      </c>
      <c r="L31" s="13">
        <f t="shared" si="10"/>
        <v>825.80645161290317</v>
      </c>
      <c r="N31" s="13">
        <f t="shared" ref="N31" si="36">((2950)/G$3)*G31</f>
        <v>3045.1612903225805</v>
      </c>
      <c r="P31" s="13">
        <f t="shared" si="11"/>
        <v>9290.322580645161</v>
      </c>
      <c r="Q31" s="12">
        <f t="shared" si="2"/>
        <v>619.35483870967732</v>
      </c>
      <c r="R31" s="12">
        <f t="shared" si="3"/>
        <v>163</v>
      </c>
      <c r="S31" s="21">
        <f t="shared" si="12"/>
        <v>175</v>
      </c>
      <c r="T31" s="13">
        <v>0</v>
      </c>
      <c r="U31" s="13">
        <f t="shared" si="34"/>
        <v>957.35483870967732</v>
      </c>
      <c r="V31" s="13">
        <f t="shared" si="5"/>
        <v>8332.967741935483</v>
      </c>
      <c r="X31" s="13">
        <f t="shared" si="13"/>
        <v>8332.967741935483</v>
      </c>
      <c r="Y31" s="12">
        <f t="shared" si="14"/>
        <v>678.70967741935488</v>
      </c>
      <c r="Z31" s="12">
        <f t="shared" si="6"/>
        <v>442</v>
      </c>
      <c r="AA31" s="1">
        <f t="shared" si="15"/>
        <v>0</v>
      </c>
      <c r="AB31" s="16">
        <f t="shared" si="35"/>
        <v>1120.7096774193549</v>
      </c>
      <c r="AC31" s="16">
        <f t="shared" si="8"/>
        <v>10411.032258064515</v>
      </c>
    </row>
    <row r="32" spans="1:29" x14ac:dyDescent="0.2">
      <c r="A32" s="10" t="s">
        <v>289</v>
      </c>
      <c r="B32" s="11">
        <f t="shared" si="16"/>
        <v>27</v>
      </c>
      <c r="C32" s="11" t="s">
        <v>252</v>
      </c>
      <c r="D32" s="11" t="s">
        <v>51</v>
      </c>
      <c r="E32" s="11" t="s">
        <v>581</v>
      </c>
      <c r="F32" s="22">
        <v>42795</v>
      </c>
      <c r="G32" s="11">
        <v>36</v>
      </c>
      <c r="H32" s="13">
        <f t="shared" si="0"/>
        <v>5806.4516129032254</v>
      </c>
      <c r="I32" s="13">
        <f t="shared" si="9"/>
        <v>0</v>
      </c>
      <c r="J32" s="13">
        <f t="shared" si="1"/>
        <v>290.32258064516128</v>
      </c>
      <c r="L32" s="13">
        <f t="shared" si="10"/>
        <v>929.0322580645161</v>
      </c>
      <c r="N32" s="13">
        <f>((2950+2000)/G$3)*G32</f>
        <v>5748.3870967741941</v>
      </c>
      <c r="O32" s="13">
        <v>1322</v>
      </c>
      <c r="P32" s="13">
        <f t="shared" si="11"/>
        <v>14096.193548387097</v>
      </c>
      <c r="Q32" s="12">
        <f t="shared" si="2"/>
        <v>696.77419354838707</v>
      </c>
      <c r="R32" s="12">
        <f t="shared" si="3"/>
        <v>247</v>
      </c>
      <c r="S32" s="21">
        <f t="shared" si="12"/>
        <v>200</v>
      </c>
      <c r="T32" s="13">
        <v>0</v>
      </c>
      <c r="U32" s="13">
        <f t="shared" si="34"/>
        <v>1143.7741935483871</v>
      </c>
      <c r="V32" s="13">
        <f t="shared" si="5"/>
        <v>12952.41935483871</v>
      </c>
      <c r="X32" s="13">
        <f t="shared" si="13"/>
        <v>12952.41935483871</v>
      </c>
      <c r="Y32" s="12">
        <f t="shared" si="14"/>
        <v>763.54838709677415</v>
      </c>
      <c r="Z32" s="12">
        <f t="shared" si="6"/>
        <v>670</v>
      </c>
      <c r="AA32" s="1">
        <f t="shared" si="15"/>
        <v>0</v>
      </c>
      <c r="AB32" s="16">
        <f t="shared" si="35"/>
        <v>1433.5483870967741</v>
      </c>
      <c r="AC32" s="16">
        <f t="shared" si="8"/>
        <v>15529.741935483871</v>
      </c>
    </row>
    <row r="33" spans="1:29" x14ac:dyDescent="0.2">
      <c r="A33" s="10" t="s">
        <v>290</v>
      </c>
      <c r="B33" s="11">
        <f t="shared" si="16"/>
        <v>28</v>
      </c>
      <c r="C33" s="11" t="s">
        <v>246</v>
      </c>
      <c r="D33" s="11" t="s">
        <v>51</v>
      </c>
      <c r="E33" s="11" t="s">
        <v>660</v>
      </c>
      <c r="F33" s="22">
        <v>42796</v>
      </c>
      <c r="G33" s="11">
        <v>26</v>
      </c>
      <c r="H33" s="13">
        <f t="shared" si="0"/>
        <v>4193.5483870967737</v>
      </c>
      <c r="I33" s="13">
        <f t="shared" si="9"/>
        <v>0</v>
      </c>
      <c r="J33" s="13">
        <f t="shared" si="1"/>
        <v>209.67741935483869</v>
      </c>
      <c r="L33" s="13">
        <f t="shared" si="10"/>
        <v>670.96774193548379</v>
      </c>
      <c r="N33" s="13">
        <f>((2950+3000)/G$3)*G33</f>
        <v>4990.322580645161</v>
      </c>
      <c r="P33" s="13">
        <f t="shared" si="11"/>
        <v>10064.516129032258</v>
      </c>
      <c r="Q33" s="12">
        <f t="shared" si="2"/>
        <v>503.22580645161281</v>
      </c>
      <c r="R33" s="12">
        <f t="shared" si="3"/>
        <v>177</v>
      </c>
      <c r="S33" s="21">
        <f t="shared" si="12"/>
        <v>200</v>
      </c>
      <c r="T33" s="13">
        <v>0</v>
      </c>
      <c r="U33" s="13">
        <f t="shared" si="34"/>
        <v>880.22580645161281</v>
      </c>
      <c r="V33" s="13">
        <f t="shared" si="5"/>
        <v>9184.290322580644</v>
      </c>
      <c r="X33" s="13">
        <f t="shared" si="13"/>
        <v>9184.290322580644</v>
      </c>
      <c r="Y33" s="12">
        <f t="shared" si="14"/>
        <v>551.45161290322574</v>
      </c>
      <c r="Z33" s="12">
        <f t="shared" si="6"/>
        <v>479</v>
      </c>
      <c r="AA33" s="1">
        <f t="shared" si="15"/>
        <v>0</v>
      </c>
      <c r="AB33" s="16">
        <f t="shared" si="35"/>
        <v>1030.4516129032259</v>
      </c>
      <c r="AC33" s="16">
        <f t="shared" si="8"/>
        <v>11094.967741935483</v>
      </c>
    </row>
    <row r="34" spans="1:29" x14ac:dyDescent="0.2">
      <c r="A34" s="10" t="s">
        <v>291</v>
      </c>
      <c r="B34" s="11">
        <f t="shared" si="16"/>
        <v>29</v>
      </c>
      <c r="C34" s="32" t="s">
        <v>247</v>
      </c>
      <c r="D34" s="11" t="s">
        <v>51</v>
      </c>
      <c r="E34" s="11" t="s">
        <v>658</v>
      </c>
      <c r="F34" s="22">
        <v>42801</v>
      </c>
      <c r="G34" s="11">
        <v>18</v>
      </c>
      <c r="H34" s="13">
        <f t="shared" si="0"/>
        <v>2903.2258064516127</v>
      </c>
      <c r="I34" s="13">
        <f t="shared" si="9"/>
        <v>0</v>
      </c>
      <c r="J34" s="13">
        <f t="shared" si="1"/>
        <v>145.16129032258064</v>
      </c>
      <c r="L34" s="13">
        <f t="shared" si="10"/>
        <v>464.51612903225805</v>
      </c>
      <c r="N34" s="13">
        <f>((1950+1000+611+1383)/G$3)*G34</f>
        <v>2870.7096774193546</v>
      </c>
      <c r="P34" s="13">
        <f t="shared" si="11"/>
        <v>6383.6129032258059</v>
      </c>
      <c r="Q34" s="12">
        <f t="shared" si="2"/>
        <v>348.38709677419354</v>
      </c>
      <c r="R34" s="12">
        <f t="shared" si="3"/>
        <v>112</v>
      </c>
      <c r="S34" s="21">
        <f t="shared" si="12"/>
        <v>0</v>
      </c>
      <c r="T34" s="13">
        <v>0</v>
      </c>
      <c r="U34" s="13">
        <f t="shared" si="34"/>
        <v>460.38709677419354</v>
      </c>
      <c r="V34" s="13">
        <f t="shared" si="5"/>
        <v>5923.2258064516127</v>
      </c>
      <c r="X34" s="13">
        <f t="shared" si="13"/>
        <v>5923.2258064516127</v>
      </c>
      <c r="Y34" s="12">
        <f t="shared" si="14"/>
        <v>381.77419354838707</v>
      </c>
      <c r="Z34" s="12">
        <f t="shared" si="6"/>
        <v>304</v>
      </c>
      <c r="AA34" s="1">
        <f t="shared" si="15"/>
        <v>0</v>
      </c>
      <c r="AB34" s="16">
        <f t="shared" si="35"/>
        <v>685.77419354838707</v>
      </c>
      <c r="AC34" s="16">
        <f t="shared" si="8"/>
        <v>7069.3870967741932</v>
      </c>
    </row>
    <row r="35" spans="1:29" x14ac:dyDescent="0.2">
      <c r="A35" s="10" t="s">
        <v>292</v>
      </c>
      <c r="B35" s="11">
        <f t="shared" si="16"/>
        <v>30</v>
      </c>
      <c r="C35" s="11" t="s">
        <v>248</v>
      </c>
      <c r="D35" s="11" t="s">
        <v>51</v>
      </c>
      <c r="E35" s="11" t="s">
        <v>658</v>
      </c>
      <c r="F35" s="22">
        <v>42815</v>
      </c>
      <c r="G35" s="11">
        <v>32</v>
      </c>
      <c r="H35" s="13">
        <f t="shared" si="0"/>
        <v>5161.2903225806449</v>
      </c>
      <c r="I35" s="13">
        <f t="shared" si="9"/>
        <v>0</v>
      </c>
      <c r="J35" s="13">
        <f t="shared" si="1"/>
        <v>258.06451612903226</v>
      </c>
      <c r="L35" s="13">
        <f t="shared" si="10"/>
        <v>825.80645161290317</v>
      </c>
      <c r="N35" s="13">
        <f>((1950+1000+611+1383)/G$3)*G35</f>
        <v>5103.4838709677415</v>
      </c>
      <c r="O35" s="13">
        <v>1000</v>
      </c>
      <c r="P35" s="13">
        <f t="shared" si="11"/>
        <v>12348.645161290322</v>
      </c>
      <c r="Q35" s="12">
        <f t="shared" si="2"/>
        <v>619.35483870967732</v>
      </c>
      <c r="R35" s="12">
        <f t="shared" si="3"/>
        <v>217</v>
      </c>
      <c r="S35" s="21">
        <f t="shared" si="12"/>
        <v>200</v>
      </c>
      <c r="T35" s="13">
        <v>0</v>
      </c>
      <c r="U35" s="13">
        <f t="shared" si="34"/>
        <v>1036.3548387096773</v>
      </c>
      <c r="V35" s="13">
        <f t="shared" si="5"/>
        <v>11312.290322580644</v>
      </c>
      <c r="X35" s="13">
        <f t="shared" si="13"/>
        <v>11312.290322580644</v>
      </c>
      <c r="Y35" s="12">
        <f t="shared" si="14"/>
        <v>678.70967741935488</v>
      </c>
      <c r="Z35" s="12">
        <f t="shared" si="6"/>
        <v>587</v>
      </c>
      <c r="AA35" s="1">
        <f t="shared" si="15"/>
        <v>0</v>
      </c>
      <c r="AB35" s="16">
        <f t="shared" si="35"/>
        <v>1265.7096774193549</v>
      </c>
      <c r="AC35" s="16">
        <f t="shared" si="8"/>
        <v>13614.354838709676</v>
      </c>
    </row>
    <row r="36" spans="1:29" x14ac:dyDescent="0.2">
      <c r="A36" s="10" t="s">
        <v>293</v>
      </c>
      <c r="B36" s="11">
        <f t="shared" si="16"/>
        <v>31</v>
      </c>
      <c r="C36" s="11" t="s">
        <v>249</v>
      </c>
      <c r="D36" s="11" t="s">
        <v>51</v>
      </c>
      <c r="E36" s="11" t="s">
        <v>236</v>
      </c>
      <c r="F36" s="22">
        <v>42815</v>
      </c>
      <c r="G36" s="11">
        <v>32</v>
      </c>
      <c r="H36" s="13">
        <f t="shared" si="0"/>
        <v>5161.2903225806449</v>
      </c>
      <c r="I36" s="13">
        <f t="shared" si="9"/>
        <v>0</v>
      </c>
      <c r="J36" s="13">
        <f t="shared" si="1"/>
        <v>258.06451612903226</v>
      </c>
      <c r="L36" s="13">
        <f t="shared" si="10"/>
        <v>825.80645161290317</v>
      </c>
      <c r="N36" s="13">
        <f t="shared" ref="N36" si="37">((2950)/G$3)*G36</f>
        <v>3045.1612903225805</v>
      </c>
      <c r="O36" s="13">
        <v>1000</v>
      </c>
      <c r="P36" s="13">
        <f t="shared" si="11"/>
        <v>10290.322580645161</v>
      </c>
      <c r="Q36" s="12">
        <f t="shared" si="2"/>
        <v>619.35483870967732</v>
      </c>
      <c r="R36" s="12">
        <f t="shared" si="3"/>
        <v>181</v>
      </c>
      <c r="S36" s="21">
        <f t="shared" si="12"/>
        <v>200</v>
      </c>
      <c r="T36" s="13">
        <v>0</v>
      </c>
      <c r="U36" s="13">
        <f t="shared" si="34"/>
        <v>1000.3548387096773</v>
      </c>
      <c r="V36" s="13">
        <f t="shared" si="5"/>
        <v>9289.967741935483</v>
      </c>
      <c r="X36" s="13">
        <f t="shared" si="13"/>
        <v>9289.967741935483</v>
      </c>
      <c r="Y36" s="12">
        <f t="shared" si="14"/>
        <v>678.70967741935488</v>
      </c>
      <c r="Z36" s="12">
        <f t="shared" si="6"/>
        <v>489</v>
      </c>
      <c r="AA36" s="1">
        <f t="shared" si="15"/>
        <v>0</v>
      </c>
      <c r="AB36" s="16">
        <f t="shared" si="35"/>
        <v>1167.7096774193549</v>
      </c>
      <c r="AC36" s="16">
        <f t="shared" si="8"/>
        <v>11458.032258064515</v>
      </c>
    </row>
    <row r="37" spans="1:29" x14ac:dyDescent="0.2">
      <c r="A37" s="10" t="s">
        <v>294</v>
      </c>
      <c r="B37" s="11">
        <f t="shared" si="16"/>
        <v>32</v>
      </c>
      <c r="C37" s="11" t="s">
        <v>250</v>
      </c>
      <c r="D37" s="11" t="s">
        <v>51</v>
      </c>
      <c r="E37" s="11" t="s">
        <v>238</v>
      </c>
      <c r="F37" s="22">
        <v>42810</v>
      </c>
      <c r="G37" s="11">
        <v>32</v>
      </c>
      <c r="H37" s="13">
        <f t="shared" si="0"/>
        <v>5161.2903225806449</v>
      </c>
      <c r="I37" s="13">
        <f t="shared" si="9"/>
        <v>0</v>
      </c>
      <c r="J37" s="13">
        <f t="shared" si="1"/>
        <v>258.06451612903226</v>
      </c>
      <c r="L37" s="13">
        <f t="shared" si="10"/>
        <v>825.80645161290317</v>
      </c>
      <c r="N37" s="13">
        <f>((2950+3000)/G$3)*G37</f>
        <v>6141.9354838709678</v>
      </c>
      <c r="P37" s="13">
        <f t="shared" si="11"/>
        <v>12387.096774193549</v>
      </c>
      <c r="Q37" s="12">
        <f t="shared" si="2"/>
        <v>619.35483870967732</v>
      </c>
      <c r="R37" s="12">
        <f t="shared" si="3"/>
        <v>217</v>
      </c>
      <c r="S37" s="21">
        <f t="shared" si="12"/>
        <v>200</v>
      </c>
      <c r="T37" s="13">
        <v>0</v>
      </c>
      <c r="U37" s="13">
        <f t="shared" si="34"/>
        <v>1036.3548387096773</v>
      </c>
      <c r="V37" s="13">
        <f t="shared" si="5"/>
        <v>11350.741935483871</v>
      </c>
      <c r="X37" s="13">
        <f t="shared" si="13"/>
        <v>11350.741935483871</v>
      </c>
      <c r="Y37" s="12">
        <f t="shared" si="14"/>
        <v>678.70967741935488</v>
      </c>
      <c r="Z37" s="12">
        <f t="shared" si="6"/>
        <v>589</v>
      </c>
      <c r="AA37" s="1">
        <f t="shared" si="15"/>
        <v>0</v>
      </c>
      <c r="AB37" s="16">
        <f t="shared" si="35"/>
        <v>1267.7096774193549</v>
      </c>
      <c r="AC37" s="16">
        <f t="shared" si="8"/>
        <v>13654.806451612903</v>
      </c>
    </row>
    <row r="38" spans="1:29" x14ac:dyDescent="0.2">
      <c r="A38" s="10" t="s">
        <v>295</v>
      </c>
      <c r="B38" s="11">
        <f t="shared" si="16"/>
        <v>33</v>
      </c>
      <c r="C38" s="32" t="s">
        <v>251</v>
      </c>
      <c r="D38" s="11" t="s">
        <v>51</v>
      </c>
      <c r="E38" s="11" t="s">
        <v>658</v>
      </c>
      <c r="F38" s="22">
        <v>42819</v>
      </c>
      <c r="G38" s="11">
        <v>21</v>
      </c>
      <c r="H38" s="13">
        <f t="shared" si="0"/>
        <v>3387.0967741935483</v>
      </c>
      <c r="I38" s="13">
        <f t="shared" si="9"/>
        <v>0</v>
      </c>
      <c r="J38" s="13">
        <f t="shared" si="1"/>
        <v>169.35483870967744</v>
      </c>
      <c r="L38" s="13">
        <f t="shared" si="10"/>
        <v>541.93548387096769</v>
      </c>
      <c r="N38" s="13">
        <f>((1950+1000+611+1383)/G$3)*G38</f>
        <v>3349.1612903225805</v>
      </c>
      <c r="P38" s="13">
        <f t="shared" si="11"/>
        <v>7447.5483870967737</v>
      </c>
      <c r="Q38" s="12">
        <f t="shared" si="2"/>
        <v>406.45161290322579</v>
      </c>
      <c r="R38" s="12">
        <f t="shared" si="3"/>
        <v>131</v>
      </c>
      <c r="S38" s="21">
        <f t="shared" si="12"/>
        <v>0</v>
      </c>
      <c r="T38" s="13">
        <v>0</v>
      </c>
      <c r="U38" s="13">
        <f t="shared" si="34"/>
        <v>537.45161290322585</v>
      </c>
      <c r="V38" s="13">
        <f t="shared" si="5"/>
        <v>6910.0967741935474</v>
      </c>
      <c r="X38" s="13">
        <f t="shared" si="13"/>
        <v>6910.0967741935474</v>
      </c>
      <c r="Y38" s="12">
        <f t="shared" si="14"/>
        <v>445.40322580645164</v>
      </c>
      <c r="Z38" s="12">
        <f t="shared" si="6"/>
        <v>354</v>
      </c>
      <c r="AA38" s="1">
        <f t="shared" si="15"/>
        <v>0</v>
      </c>
      <c r="AB38" s="16">
        <f t="shared" si="35"/>
        <v>799.4032258064517</v>
      </c>
      <c r="AC38" s="16">
        <f t="shared" si="8"/>
        <v>8246.9516129032254</v>
      </c>
    </row>
    <row r="39" spans="1:29" x14ac:dyDescent="0.2">
      <c r="A39" s="10" t="s">
        <v>410</v>
      </c>
      <c r="B39" s="11">
        <f t="shared" si="16"/>
        <v>34</v>
      </c>
      <c r="C39" s="11" t="s">
        <v>310</v>
      </c>
      <c r="D39" s="11" t="s">
        <v>51</v>
      </c>
      <c r="E39" s="11" t="s">
        <v>581</v>
      </c>
      <c r="F39" s="22">
        <v>42832</v>
      </c>
      <c r="G39" s="11">
        <v>35</v>
      </c>
      <c r="H39" s="13">
        <f t="shared" si="0"/>
        <v>5645.1612903225805</v>
      </c>
      <c r="I39" s="13">
        <f t="shared" si="9"/>
        <v>0</v>
      </c>
      <c r="J39" s="13">
        <f t="shared" si="1"/>
        <v>282.25806451612902</v>
      </c>
      <c r="L39" s="13">
        <f t="shared" si="10"/>
        <v>903.22580645161281</v>
      </c>
      <c r="N39" s="13">
        <f>((2950+6000)/G$3)*G39</f>
        <v>10104.838709677419</v>
      </c>
      <c r="P39" s="13">
        <f t="shared" si="11"/>
        <v>16935.483870967742</v>
      </c>
      <c r="Q39" s="12">
        <f t="shared" si="2"/>
        <v>677.41935483870964</v>
      </c>
      <c r="R39" s="12">
        <f t="shared" si="3"/>
        <v>297</v>
      </c>
      <c r="S39" s="21">
        <f t="shared" si="12"/>
        <v>200</v>
      </c>
      <c r="T39" s="13">
        <v>0</v>
      </c>
      <c r="U39" s="13">
        <f t="shared" si="34"/>
        <v>1174.4193548387098</v>
      </c>
      <c r="V39" s="13">
        <f t="shared" si="5"/>
        <v>15761.064516129032</v>
      </c>
      <c r="X39" s="13">
        <f t="shared" si="13"/>
        <v>15761.064516129032</v>
      </c>
      <c r="Y39" s="12">
        <f t="shared" si="14"/>
        <v>742.33870967741939</v>
      </c>
      <c r="Z39" s="12">
        <f t="shared" si="6"/>
        <v>805</v>
      </c>
      <c r="AA39" s="1">
        <f t="shared" si="15"/>
        <v>0</v>
      </c>
      <c r="AB39" s="16">
        <f t="shared" si="35"/>
        <v>1547.3387096774195</v>
      </c>
      <c r="AC39" s="16">
        <f t="shared" si="8"/>
        <v>18482.822580645163</v>
      </c>
    </row>
    <row r="40" spans="1:29" x14ac:dyDescent="0.2">
      <c r="A40" s="10" t="s">
        <v>411</v>
      </c>
      <c r="B40" s="11">
        <f t="shared" si="16"/>
        <v>35</v>
      </c>
      <c r="C40" s="11" t="s">
        <v>311</v>
      </c>
      <c r="D40" s="11" t="s">
        <v>51</v>
      </c>
      <c r="E40" s="11" t="s">
        <v>661</v>
      </c>
      <c r="F40" s="22">
        <v>42843</v>
      </c>
      <c r="G40" s="11">
        <v>33</v>
      </c>
      <c r="H40" s="13">
        <f t="shared" si="0"/>
        <v>5322.5806451612898</v>
      </c>
      <c r="I40" s="13">
        <f t="shared" si="9"/>
        <v>0</v>
      </c>
      <c r="J40" s="13">
        <f t="shared" si="1"/>
        <v>266.12903225806451</v>
      </c>
      <c r="L40" s="13">
        <f t="shared" si="10"/>
        <v>851.61290322580635</v>
      </c>
      <c r="N40" s="13">
        <f>((2950+4500)/G$3)*G40</f>
        <v>7930.645161290322</v>
      </c>
      <c r="O40" s="13">
        <v>1000</v>
      </c>
      <c r="P40" s="13">
        <f t="shared" si="11"/>
        <v>15370.967741935483</v>
      </c>
      <c r="Q40" s="12">
        <f t="shared" si="2"/>
        <v>638.70967741935476</v>
      </c>
      <c r="R40" s="12">
        <f t="shared" si="3"/>
        <v>269</v>
      </c>
      <c r="S40" s="21">
        <f t="shared" si="12"/>
        <v>200</v>
      </c>
      <c r="T40" s="13">
        <v>0</v>
      </c>
      <c r="U40" s="13">
        <f t="shared" si="34"/>
        <v>1107.7096774193546</v>
      </c>
      <c r="V40" s="13">
        <f t="shared" si="5"/>
        <v>14263.258064516129</v>
      </c>
      <c r="X40" s="13">
        <f t="shared" si="13"/>
        <v>14263.258064516129</v>
      </c>
      <c r="Y40" s="12">
        <f t="shared" si="14"/>
        <v>699.91935483870964</v>
      </c>
      <c r="Z40" s="12">
        <f t="shared" si="6"/>
        <v>731</v>
      </c>
      <c r="AA40" s="1">
        <f t="shared" si="15"/>
        <v>0</v>
      </c>
      <c r="AB40" s="16">
        <f t="shared" si="35"/>
        <v>1430.9193548387098</v>
      </c>
      <c r="AC40" s="16">
        <f t="shared" si="8"/>
        <v>16801.887096774193</v>
      </c>
    </row>
    <row r="41" spans="1:29" x14ac:dyDescent="0.2">
      <c r="A41" s="10" t="s">
        <v>412</v>
      </c>
      <c r="B41" s="11">
        <f t="shared" si="16"/>
        <v>36</v>
      </c>
      <c r="C41" s="52" t="s">
        <v>312</v>
      </c>
      <c r="D41" s="11" t="s">
        <v>51</v>
      </c>
      <c r="E41" s="11" t="s">
        <v>658</v>
      </c>
      <c r="F41" s="22">
        <v>42832</v>
      </c>
      <c r="G41" s="11">
        <v>5</v>
      </c>
      <c r="H41" s="13">
        <f t="shared" si="0"/>
        <v>806.45161290322574</v>
      </c>
      <c r="I41" s="13">
        <f t="shared" si="9"/>
        <v>0</v>
      </c>
      <c r="J41" s="13">
        <f t="shared" si="1"/>
        <v>40.322580645161288</v>
      </c>
      <c r="L41" s="13">
        <f t="shared" si="10"/>
        <v>129.03225806451613</v>
      </c>
      <c r="N41" s="13">
        <f>((1950+1000+611+1383)/G$3)*G41</f>
        <v>797.41935483870964</v>
      </c>
      <c r="P41" s="13">
        <f t="shared" si="11"/>
        <v>1773.2258064516127</v>
      </c>
      <c r="Q41" s="12">
        <f t="shared" si="2"/>
        <v>96.774193548387089</v>
      </c>
      <c r="R41" s="12">
        <f t="shared" si="3"/>
        <v>32</v>
      </c>
      <c r="S41" s="21">
        <f t="shared" si="12"/>
        <v>0</v>
      </c>
      <c r="T41" s="13">
        <v>0</v>
      </c>
      <c r="U41" s="13">
        <f t="shared" si="34"/>
        <v>128.77419354838707</v>
      </c>
      <c r="V41" s="13">
        <f t="shared" si="5"/>
        <v>1644.4516129032256</v>
      </c>
      <c r="X41" s="13">
        <f t="shared" si="13"/>
        <v>1644.4516129032256</v>
      </c>
      <c r="Y41" s="12">
        <f t="shared" si="14"/>
        <v>106.04838709677419</v>
      </c>
      <c r="Z41" s="12">
        <f t="shared" si="6"/>
        <v>85</v>
      </c>
      <c r="AA41" s="1">
        <f t="shared" si="15"/>
        <v>0</v>
      </c>
      <c r="AB41" s="16">
        <f t="shared" si="35"/>
        <v>191.04838709677421</v>
      </c>
      <c r="AC41" s="16">
        <f t="shared" si="8"/>
        <v>1964.2741935483868</v>
      </c>
    </row>
    <row r="42" spans="1:29" x14ac:dyDescent="0.2">
      <c r="A42" s="10" t="s">
        <v>413</v>
      </c>
      <c r="B42" s="11">
        <f t="shared" si="16"/>
        <v>37</v>
      </c>
      <c r="C42" s="11" t="s">
        <v>314</v>
      </c>
      <c r="D42" s="11" t="s">
        <v>51</v>
      </c>
      <c r="E42" s="11" t="s">
        <v>658</v>
      </c>
      <c r="F42" s="22" t="s">
        <v>322</v>
      </c>
      <c r="G42" s="11">
        <v>33</v>
      </c>
      <c r="H42" s="13">
        <f t="shared" si="0"/>
        <v>5322.5806451612898</v>
      </c>
      <c r="I42" s="13">
        <f t="shared" si="9"/>
        <v>0</v>
      </c>
      <c r="J42" s="13">
        <f t="shared" si="1"/>
        <v>266.12903225806451</v>
      </c>
      <c r="L42" s="13">
        <f t="shared" si="10"/>
        <v>851.61290322580635</v>
      </c>
      <c r="N42" s="13">
        <f>((1950+1000+611+1383)/G$3)*G42</f>
        <v>5262.967741935483</v>
      </c>
      <c r="P42" s="13">
        <f t="shared" si="11"/>
        <v>11703.290322580644</v>
      </c>
      <c r="Q42" s="12">
        <f t="shared" si="2"/>
        <v>638.70967741935476</v>
      </c>
      <c r="R42" s="12">
        <f t="shared" si="3"/>
        <v>205</v>
      </c>
      <c r="S42" s="21">
        <f t="shared" si="12"/>
        <v>200</v>
      </c>
      <c r="T42" s="13">
        <v>0</v>
      </c>
      <c r="U42" s="13">
        <f t="shared" si="34"/>
        <v>1043.7096774193546</v>
      </c>
      <c r="V42" s="13">
        <f t="shared" si="5"/>
        <v>10659.58064516129</v>
      </c>
      <c r="X42" s="13">
        <f t="shared" si="13"/>
        <v>10659.58064516129</v>
      </c>
      <c r="Y42" s="12">
        <f t="shared" si="14"/>
        <v>699.91935483870964</v>
      </c>
      <c r="Z42" s="12">
        <f t="shared" si="6"/>
        <v>556</v>
      </c>
      <c r="AA42" s="1">
        <f t="shared" si="15"/>
        <v>0</v>
      </c>
      <c r="AB42" s="16">
        <f t="shared" si="35"/>
        <v>1255.9193548387098</v>
      </c>
      <c r="AC42" s="16">
        <f t="shared" si="8"/>
        <v>12959.209677419354</v>
      </c>
    </row>
    <row r="43" spans="1:29" x14ac:dyDescent="0.2">
      <c r="A43" s="10" t="s">
        <v>414</v>
      </c>
      <c r="B43" s="11">
        <f t="shared" si="16"/>
        <v>38</v>
      </c>
      <c r="C43" s="11" t="s">
        <v>313</v>
      </c>
      <c r="D43" s="11" t="s">
        <v>51</v>
      </c>
      <c r="E43" s="11" t="s">
        <v>658</v>
      </c>
      <c r="F43" s="22" t="s">
        <v>323</v>
      </c>
      <c r="G43" s="11">
        <v>33</v>
      </c>
      <c r="H43" s="13">
        <f t="shared" si="0"/>
        <v>5322.5806451612898</v>
      </c>
      <c r="I43" s="13">
        <f t="shared" si="9"/>
        <v>0</v>
      </c>
      <c r="J43" s="13">
        <f t="shared" si="1"/>
        <v>266.12903225806451</v>
      </c>
      <c r="L43" s="13">
        <f t="shared" si="10"/>
        <v>851.61290322580635</v>
      </c>
      <c r="N43" s="13">
        <f>((1950+1000+611+1383)/G$3)*G43</f>
        <v>5262.967741935483</v>
      </c>
      <c r="O43" s="13">
        <v>1000</v>
      </c>
      <c r="P43" s="13">
        <f t="shared" si="11"/>
        <v>12703.290322580644</v>
      </c>
      <c r="Q43" s="12">
        <f t="shared" si="2"/>
        <v>638.70967741935476</v>
      </c>
      <c r="R43" s="12">
        <f t="shared" si="3"/>
        <v>223</v>
      </c>
      <c r="S43" s="21">
        <f t="shared" si="12"/>
        <v>200</v>
      </c>
      <c r="T43" s="13">
        <v>0</v>
      </c>
      <c r="U43" s="13">
        <f t="shared" si="34"/>
        <v>1061.7096774193546</v>
      </c>
      <c r="V43" s="13">
        <f t="shared" si="5"/>
        <v>11641.58064516129</v>
      </c>
      <c r="X43" s="13">
        <f t="shared" si="13"/>
        <v>11641.58064516129</v>
      </c>
      <c r="Y43" s="12">
        <f t="shared" si="14"/>
        <v>699.91935483870964</v>
      </c>
      <c r="Z43" s="12">
        <f t="shared" si="6"/>
        <v>604</v>
      </c>
      <c r="AA43" s="1">
        <f t="shared" si="15"/>
        <v>0</v>
      </c>
      <c r="AB43" s="16">
        <f t="shared" si="35"/>
        <v>1303.9193548387098</v>
      </c>
      <c r="AC43" s="16">
        <f t="shared" si="8"/>
        <v>14007.209677419354</v>
      </c>
    </row>
    <row r="44" spans="1:29" x14ac:dyDescent="0.2">
      <c r="A44" s="10" t="s">
        <v>467</v>
      </c>
      <c r="B44" s="11">
        <f t="shared" si="16"/>
        <v>39</v>
      </c>
      <c r="C44" s="11" t="s">
        <v>334</v>
      </c>
      <c r="D44" s="11" t="s">
        <v>51</v>
      </c>
      <c r="E44" s="11" t="s">
        <v>662</v>
      </c>
      <c r="F44" s="22">
        <v>42856</v>
      </c>
      <c r="G44" s="11">
        <v>36</v>
      </c>
      <c r="H44" s="13">
        <f t="shared" si="0"/>
        <v>5806.4516129032254</v>
      </c>
      <c r="I44" s="13">
        <f t="shared" si="9"/>
        <v>0</v>
      </c>
      <c r="J44" s="13">
        <f t="shared" si="1"/>
        <v>290.32258064516128</v>
      </c>
      <c r="L44" s="13">
        <f t="shared" si="10"/>
        <v>929.0322580645161</v>
      </c>
      <c r="N44" s="13">
        <f>((2950+8100)/G$3)*G44</f>
        <v>12832.258064516129</v>
      </c>
      <c r="O44" s="13">
        <v>1000</v>
      </c>
      <c r="P44" s="13">
        <f t="shared" si="11"/>
        <v>20858.06451612903</v>
      </c>
      <c r="Q44" s="12">
        <f t="shared" si="2"/>
        <v>696.77419354838707</v>
      </c>
      <c r="R44" s="12">
        <f t="shared" si="3"/>
        <v>366</v>
      </c>
      <c r="S44" s="21">
        <f t="shared" si="12"/>
        <v>200</v>
      </c>
      <c r="T44" s="13">
        <v>0</v>
      </c>
      <c r="U44" s="13">
        <f t="shared" si="34"/>
        <v>1262.7741935483871</v>
      </c>
      <c r="V44" s="13">
        <f t="shared" si="5"/>
        <v>19595.290322580644</v>
      </c>
      <c r="X44" s="13">
        <f t="shared" si="13"/>
        <v>19595.290322580644</v>
      </c>
      <c r="Y44" s="12">
        <f t="shared" si="14"/>
        <v>763.54838709677415</v>
      </c>
      <c r="Z44" s="12">
        <f t="shared" si="6"/>
        <v>991</v>
      </c>
      <c r="AA44" s="1">
        <f t="shared" si="15"/>
        <v>0</v>
      </c>
      <c r="AB44" s="16">
        <f t="shared" si="35"/>
        <v>1754.5483870967741</v>
      </c>
      <c r="AC44" s="16">
        <f t="shared" si="8"/>
        <v>22612.612903225803</v>
      </c>
    </row>
    <row r="45" spans="1:29" x14ac:dyDescent="0.2">
      <c r="A45" s="10" t="s">
        <v>468</v>
      </c>
      <c r="B45" s="11">
        <f t="shared" si="16"/>
        <v>40</v>
      </c>
      <c r="C45" s="11" t="s">
        <v>335</v>
      </c>
      <c r="D45" s="11" t="s">
        <v>51</v>
      </c>
      <c r="E45" s="11" t="s">
        <v>663</v>
      </c>
      <c r="F45" s="22">
        <v>42856</v>
      </c>
      <c r="G45" s="11">
        <v>34</v>
      </c>
      <c r="H45" s="13">
        <f t="shared" si="0"/>
        <v>5483.8709677419356</v>
      </c>
      <c r="I45" s="13">
        <f t="shared" si="9"/>
        <v>0</v>
      </c>
      <c r="J45" s="13">
        <f t="shared" si="1"/>
        <v>274.19354838709677</v>
      </c>
      <c r="L45" s="13">
        <f t="shared" si="10"/>
        <v>877.41935483870964</v>
      </c>
      <c r="N45" s="13">
        <f>((2950+2000)/G$3)*G45</f>
        <v>5429.0322580645161</v>
      </c>
      <c r="O45" s="13">
        <v>1000</v>
      </c>
      <c r="P45" s="13">
        <f t="shared" si="11"/>
        <v>13064.516129032258</v>
      </c>
      <c r="Q45" s="12">
        <f t="shared" si="2"/>
        <v>658.0645161290322</v>
      </c>
      <c r="R45" s="12">
        <f t="shared" si="3"/>
        <v>229</v>
      </c>
      <c r="S45" s="21">
        <f t="shared" si="12"/>
        <v>200</v>
      </c>
      <c r="T45" s="13">
        <v>0</v>
      </c>
      <c r="U45" s="13">
        <f t="shared" si="34"/>
        <v>1087.0645161290322</v>
      </c>
      <c r="V45" s="13">
        <f t="shared" si="5"/>
        <v>11977.451612903225</v>
      </c>
      <c r="X45" s="13">
        <f t="shared" si="13"/>
        <v>11977.451612903225</v>
      </c>
      <c r="Y45" s="12">
        <f t="shared" si="14"/>
        <v>721.12903225806451</v>
      </c>
      <c r="Z45" s="12">
        <f t="shared" si="6"/>
        <v>621</v>
      </c>
      <c r="AA45" s="1">
        <f t="shared" si="15"/>
        <v>0</v>
      </c>
      <c r="AB45" s="16">
        <f t="shared" si="35"/>
        <v>1342.1290322580644</v>
      </c>
      <c r="AC45" s="16">
        <f t="shared" si="8"/>
        <v>14406.645161290322</v>
      </c>
    </row>
    <row r="46" spans="1:29" x14ac:dyDescent="0.2">
      <c r="A46" s="10" t="s">
        <v>469</v>
      </c>
      <c r="B46" s="11">
        <f t="shared" si="16"/>
        <v>41</v>
      </c>
      <c r="C46" s="11" t="s">
        <v>336</v>
      </c>
      <c r="D46" s="11" t="s">
        <v>51</v>
      </c>
      <c r="E46" s="11" t="s">
        <v>661</v>
      </c>
      <c r="F46" s="22">
        <v>42856</v>
      </c>
      <c r="G46" s="11">
        <v>32</v>
      </c>
      <c r="H46" s="13">
        <f t="shared" si="0"/>
        <v>5161.2903225806449</v>
      </c>
      <c r="I46" s="13">
        <f t="shared" si="9"/>
        <v>0</v>
      </c>
      <c r="J46" s="13">
        <f t="shared" si="1"/>
        <v>258.06451612903226</v>
      </c>
      <c r="L46" s="13">
        <f t="shared" si="10"/>
        <v>825.80645161290317</v>
      </c>
      <c r="N46" s="13">
        <f>((2950+4000)/G$3)*G46</f>
        <v>7174.1935483870966</v>
      </c>
      <c r="P46" s="13">
        <f t="shared" si="11"/>
        <v>13419.354838709678</v>
      </c>
      <c r="Q46" s="12">
        <f t="shared" si="2"/>
        <v>619.35483870967732</v>
      </c>
      <c r="R46" s="12">
        <f t="shared" si="3"/>
        <v>235</v>
      </c>
      <c r="S46" s="21">
        <f t="shared" si="12"/>
        <v>200</v>
      </c>
      <c r="T46" s="13">
        <v>0</v>
      </c>
      <c r="U46" s="13">
        <f t="shared" si="34"/>
        <v>1054.3548387096773</v>
      </c>
      <c r="V46" s="13">
        <f t="shared" si="5"/>
        <v>12365</v>
      </c>
      <c r="X46" s="13">
        <f t="shared" si="13"/>
        <v>12365</v>
      </c>
      <c r="Y46" s="12">
        <f t="shared" si="14"/>
        <v>678.70967741935488</v>
      </c>
      <c r="Z46" s="12">
        <f t="shared" si="6"/>
        <v>638</v>
      </c>
      <c r="AA46" s="1">
        <f t="shared" si="15"/>
        <v>0</v>
      </c>
      <c r="AB46" s="16">
        <f t="shared" si="35"/>
        <v>1316.7096774193549</v>
      </c>
      <c r="AC46" s="16">
        <f t="shared" si="8"/>
        <v>14736.064516129032</v>
      </c>
    </row>
    <row r="47" spans="1:29" x14ac:dyDescent="0.2">
      <c r="A47" s="10" t="s">
        <v>470</v>
      </c>
      <c r="B47" s="11">
        <f t="shared" si="16"/>
        <v>42</v>
      </c>
      <c r="C47" s="11" t="s">
        <v>337</v>
      </c>
      <c r="D47" s="11" t="s">
        <v>51</v>
      </c>
      <c r="E47" s="11" t="s">
        <v>661</v>
      </c>
      <c r="F47" s="22">
        <v>42856</v>
      </c>
      <c r="G47" s="11">
        <v>32</v>
      </c>
      <c r="H47" s="13">
        <f t="shared" si="0"/>
        <v>5161.2903225806449</v>
      </c>
      <c r="I47" s="13">
        <f t="shared" si="9"/>
        <v>0</v>
      </c>
      <c r="J47" s="13">
        <f t="shared" si="1"/>
        <v>258.06451612903226</v>
      </c>
      <c r="L47" s="13">
        <f t="shared" si="10"/>
        <v>825.80645161290317</v>
      </c>
      <c r="N47" s="13">
        <f>((2950+6000)/G$3)*G47</f>
        <v>9238.7096774193542</v>
      </c>
      <c r="P47" s="13">
        <f t="shared" si="11"/>
        <v>15483.870967741936</v>
      </c>
      <c r="Q47" s="12">
        <f t="shared" si="2"/>
        <v>619.35483870967732</v>
      </c>
      <c r="R47" s="12">
        <f t="shared" si="3"/>
        <v>271</v>
      </c>
      <c r="S47" s="21">
        <f t="shared" si="12"/>
        <v>200</v>
      </c>
      <c r="T47" s="13">
        <v>0</v>
      </c>
      <c r="U47" s="13">
        <f t="shared" si="34"/>
        <v>1090.3548387096773</v>
      </c>
      <c r="V47" s="13">
        <f t="shared" si="5"/>
        <v>14393.516129032258</v>
      </c>
      <c r="X47" s="13">
        <f t="shared" si="13"/>
        <v>14393.516129032258</v>
      </c>
      <c r="Y47" s="12">
        <f t="shared" si="14"/>
        <v>678.70967741935488</v>
      </c>
      <c r="Z47" s="12">
        <f t="shared" si="6"/>
        <v>736</v>
      </c>
      <c r="AA47" s="1">
        <f t="shared" si="15"/>
        <v>0</v>
      </c>
      <c r="AB47" s="16">
        <f t="shared" si="35"/>
        <v>1414.7096774193549</v>
      </c>
      <c r="AC47" s="16">
        <f t="shared" si="8"/>
        <v>16898.580645161292</v>
      </c>
    </row>
    <row r="48" spans="1:29" x14ac:dyDescent="0.2">
      <c r="A48" s="10" t="s">
        <v>763</v>
      </c>
      <c r="B48" s="11">
        <f t="shared" si="16"/>
        <v>43</v>
      </c>
      <c r="C48" s="11" t="s">
        <v>439</v>
      </c>
      <c r="D48" s="11" t="s">
        <v>51</v>
      </c>
      <c r="E48" s="11" t="s">
        <v>658</v>
      </c>
      <c r="F48" s="22">
        <v>42887</v>
      </c>
      <c r="G48" s="11">
        <v>30</v>
      </c>
      <c r="H48" s="13">
        <f t="shared" si="0"/>
        <v>4838.7096774193542</v>
      </c>
      <c r="I48" s="13">
        <f t="shared" si="9"/>
        <v>0</v>
      </c>
      <c r="J48" s="13">
        <f t="shared" si="1"/>
        <v>241.93548387096772</v>
      </c>
      <c r="L48" s="13">
        <f t="shared" si="10"/>
        <v>774.19354838709671</v>
      </c>
      <c r="N48" s="13">
        <f t="shared" ref="N48:N55" si="38">((1950+1000+611+1383)/G$3)*G48</f>
        <v>4784.5161290322576</v>
      </c>
      <c r="P48" s="13">
        <f t="shared" si="11"/>
        <v>10639.354838709676</v>
      </c>
      <c r="Q48" s="12">
        <f t="shared" si="2"/>
        <v>580.64516129032245</v>
      </c>
      <c r="R48" s="12">
        <f t="shared" si="3"/>
        <v>187</v>
      </c>
      <c r="S48" s="21">
        <f t="shared" si="12"/>
        <v>200</v>
      </c>
      <c r="T48" s="13">
        <v>0</v>
      </c>
      <c r="U48" s="13">
        <f t="shared" si="34"/>
        <v>967.64516129032245</v>
      </c>
      <c r="V48" s="13">
        <f t="shared" si="5"/>
        <v>9671.7096774193542</v>
      </c>
      <c r="X48" s="13">
        <f t="shared" si="13"/>
        <v>9671.7096774193542</v>
      </c>
      <c r="Y48" s="12">
        <f t="shared" si="14"/>
        <v>636.29032258064512</v>
      </c>
      <c r="Z48" s="12">
        <f t="shared" si="6"/>
        <v>506</v>
      </c>
      <c r="AA48" s="1">
        <f t="shared" si="15"/>
        <v>0</v>
      </c>
      <c r="AB48" s="16">
        <f t="shared" ref="AB48:AB84" si="39">SUM(Y48:AA48)</f>
        <v>1142.2903225806451</v>
      </c>
      <c r="AC48" s="16">
        <f t="shared" si="8"/>
        <v>11781.645161290322</v>
      </c>
    </row>
    <row r="49" spans="1:29" x14ac:dyDescent="0.2">
      <c r="A49" s="10" t="s">
        <v>764</v>
      </c>
      <c r="B49" s="11">
        <f t="shared" si="16"/>
        <v>44</v>
      </c>
      <c r="C49" s="11" t="s">
        <v>440</v>
      </c>
      <c r="D49" s="11" t="s">
        <v>51</v>
      </c>
      <c r="E49" s="11" t="s">
        <v>658</v>
      </c>
      <c r="F49" s="22">
        <v>42891</v>
      </c>
      <c r="G49" s="11">
        <v>27</v>
      </c>
      <c r="H49" s="13">
        <f t="shared" si="0"/>
        <v>4354.8387096774195</v>
      </c>
      <c r="I49" s="13">
        <f t="shared" si="9"/>
        <v>0</v>
      </c>
      <c r="J49" s="13">
        <f t="shared" si="1"/>
        <v>217.74193548387098</v>
      </c>
      <c r="L49" s="13">
        <f t="shared" si="10"/>
        <v>696.77419354838707</v>
      </c>
      <c r="N49" s="13">
        <f t="shared" si="38"/>
        <v>4306.0645161290322</v>
      </c>
      <c r="P49" s="13">
        <f t="shared" si="11"/>
        <v>9575.4193548387102</v>
      </c>
      <c r="Q49" s="12">
        <f t="shared" si="2"/>
        <v>522.58064516129036</v>
      </c>
      <c r="R49" s="12">
        <f t="shared" si="3"/>
        <v>168</v>
      </c>
      <c r="S49" s="21">
        <f t="shared" si="12"/>
        <v>175</v>
      </c>
      <c r="T49" s="13">
        <v>0</v>
      </c>
      <c r="U49" s="13">
        <f t="shared" si="34"/>
        <v>865.58064516129036</v>
      </c>
      <c r="V49" s="13">
        <f t="shared" si="5"/>
        <v>8709.8387096774204</v>
      </c>
      <c r="X49" s="13">
        <f t="shared" si="13"/>
        <v>8709.8387096774204</v>
      </c>
      <c r="Y49" s="12">
        <f t="shared" si="14"/>
        <v>572.66129032258073</v>
      </c>
      <c r="Z49" s="12">
        <f t="shared" si="6"/>
        <v>455</v>
      </c>
      <c r="AA49" s="1">
        <f t="shared" si="15"/>
        <v>0</v>
      </c>
      <c r="AB49" s="16">
        <f t="shared" si="39"/>
        <v>1027.6612903225807</v>
      </c>
      <c r="AC49" s="16">
        <f t="shared" si="8"/>
        <v>10603.080645161292</v>
      </c>
    </row>
    <row r="50" spans="1:29" x14ac:dyDescent="0.2">
      <c r="A50" s="10" t="s">
        <v>765</v>
      </c>
      <c r="B50" s="11">
        <f t="shared" si="16"/>
        <v>45</v>
      </c>
      <c r="C50" s="11" t="s">
        <v>441</v>
      </c>
      <c r="D50" s="11" t="s">
        <v>51</v>
      </c>
      <c r="E50" s="11" t="s">
        <v>658</v>
      </c>
      <c r="F50" s="22">
        <v>42887</v>
      </c>
      <c r="G50" s="11">
        <v>30</v>
      </c>
      <c r="H50" s="13">
        <f t="shared" si="0"/>
        <v>4838.7096774193542</v>
      </c>
      <c r="I50" s="13">
        <f t="shared" si="9"/>
        <v>0</v>
      </c>
      <c r="J50" s="13">
        <f t="shared" si="1"/>
        <v>241.93548387096772</v>
      </c>
      <c r="L50" s="13">
        <f t="shared" si="10"/>
        <v>774.19354838709671</v>
      </c>
      <c r="N50" s="13">
        <f t="shared" si="38"/>
        <v>4784.5161290322576</v>
      </c>
      <c r="P50" s="13">
        <f t="shared" si="11"/>
        <v>10639.354838709676</v>
      </c>
      <c r="Q50" s="12">
        <f t="shared" si="2"/>
        <v>580.64516129032245</v>
      </c>
      <c r="R50" s="12">
        <f t="shared" si="3"/>
        <v>187</v>
      </c>
      <c r="S50" s="21">
        <f t="shared" si="12"/>
        <v>200</v>
      </c>
      <c r="T50" s="13">
        <v>0</v>
      </c>
      <c r="U50" s="13">
        <f t="shared" si="34"/>
        <v>967.64516129032245</v>
      </c>
      <c r="V50" s="13">
        <f t="shared" si="5"/>
        <v>9671.7096774193542</v>
      </c>
      <c r="X50" s="13">
        <f t="shared" si="13"/>
        <v>9671.7096774193542</v>
      </c>
      <c r="Y50" s="12">
        <f t="shared" si="14"/>
        <v>636.29032258064512</v>
      </c>
      <c r="Z50" s="12">
        <f t="shared" si="6"/>
        <v>506</v>
      </c>
      <c r="AA50" s="1">
        <f t="shared" si="15"/>
        <v>0</v>
      </c>
      <c r="AB50" s="16">
        <f t="shared" si="39"/>
        <v>1142.2903225806451</v>
      </c>
      <c r="AC50" s="16">
        <f t="shared" si="8"/>
        <v>11781.645161290322</v>
      </c>
    </row>
    <row r="51" spans="1:29" x14ac:dyDescent="0.2">
      <c r="A51" s="10" t="s">
        <v>766</v>
      </c>
      <c r="B51" s="11">
        <f t="shared" si="16"/>
        <v>46</v>
      </c>
      <c r="C51" s="11" t="s">
        <v>442</v>
      </c>
      <c r="D51" s="11" t="s">
        <v>51</v>
      </c>
      <c r="E51" s="11" t="s">
        <v>238</v>
      </c>
      <c r="F51" s="22">
        <v>42887</v>
      </c>
      <c r="G51" s="11">
        <v>24</v>
      </c>
      <c r="H51" s="13">
        <f t="shared" si="0"/>
        <v>3870.9677419354839</v>
      </c>
      <c r="I51" s="13">
        <f t="shared" si="9"/>
        <v>0</v>
      </c>
      <c r="J51" s="13">
        <f t="shared" si="1"/>
        <v>193.54838709677421</v>
      </c>
      <c r="L51" s="13">
        <f t="shared" si="10"/>
        <v>619.35483870967732</v>
      </c>
      <c r="N51" s="13">
        <f t="shared" si="38"/>
        <v>3827.6129032258059</v>
      </c>
      <c r="O51" s="13">
        <v>322</v>
      </c>
      <c r="P51" s="13">
        <f t="shared" si="11"/>
        <v>8833.4838709677424</v>
      </c>
      <c r="Q51" s="12">
        <f t="shared" si="2"/>
        <v>464.51612903225805</v>
      </c>
      <c r="R51" s="12">
        <f t="shared" si="3"/>
        <v>155</v>
      </c>
      <c r="S51" s="21">
        <f t="shared" si="12"/>
        <v>175</v>
      </c>
      <c r="T51" s="13">
        <v>0</v>
      </c>
      <c r="U51" s="13">
        <f t="shared" si="34"/>
        <v>794.51612903225805</v>
      </c>
      <c r="V51" s="13">
        <f t="shared" si="5"/>
        <v>8038.9677419354848</v>
      </c>
      <c r="X51" s="13">
        <f t="shared" si="13"/>
        <v>8038.9677419354848</v>
      </c>
      <c r="Y51" s="12">
        <f t="shared" si="14"/>
        <v>509.03225806451616</v>
      </c>
      <c r="Z51" s="12">
        <f t="shared" si="6"/>
        <v>420</v>
      </c>
      <c r="AA51" s="1">
        <f t="shared" si="15"/>
        <v>0</v>
      </c>
      <c r="AB51" s="16">
        <f t="shared" si="39"/>
        <v>929.0322580645161</v>
      </c>
      <c r="AC51" s="16">
        <f t="shared" si="8"/>
        <v>9762.5161290322576</v>
      </c>
    </row>
    <row r="52" spans="1:29" x14ac:dyDescent="0.2">
      <c r="A52" s="10" t="s">
        <v>767</v>
      </c>
      <c r="B52" s="11">
        <f t="shared" si="16"/>
        <v>47</v>
      </c>
      <c r="C52" s="11" t="s">
        <v>443</v>
      </c>
      <c r="D52" s="11" t="s">
        <v>51</v>
      </c>
      <c r="E52" s="11" t="s">
        <v>660</v>
      </c>
      <c r="F52" s="22">
        <v>42912</v>
      </c>
      <c r="G52" s="11">
        <v>32</v>
      </c>
      <c r="H52" s="13">
        <f t="shared" si="0"/>
        <v>5161.2903225806449</v>
      </c>
      <c r="I52" s="13">
        <f t="shared" si="9"/>
        <v>0</v>
      </c>
      <c r="J52" s="13">
        <f t="shared" si="1"/>
        <v>258.06451612903226</v>
      </c>
      <c r="L52" s="13">
        <f t="shared" si="10"/>
        <v>825.80645161290317</v>
      </c>
      <c r="N52" s="13">
        <f>((2950+9000)/G$3)*G52</f>
        <v>12335.483870967742</v>
      </c>
      <c r="P52" s="13">
        <f t="shared" si="11"/>
        <v>18580.645161290322</v>
      </c>
      <c r="Q52" s="12">
        <f t="shared" si="2"/>
        <v>619.35483870967732</v>
      </c>
      <c r="R52" s="12">
        <f t="shared" si="3"/>
        <v>326</v>
      </c>
      <c r="S52" s="21">
        <f t="shared" si="12"/>
        <v>200</v>
      </c>
      <c r="T52" s="13">
        <v>0</v>
      </c>
      <c r="U52" s="13">
        <f t="shared" si="34"/>
        <v>1145.3548387096773</v>
      </c>
      <c r="V52" s="13">
        <f t="shared" si="5"/>
        <v>17435.290322580644</v>
      </c>
      <c r="X52" s="13">
        <f t="shared" si="13"/>
        <v>17435.290322580644</v>
      </c>
      <c r="Y52" s="12">
        <f t="shared" si="14"/>
        <v>678.70967741935488</v>
      </c>
      <c r="Z52" s="12">
        <f t="shared" si="6"/>
        <v>883</v>
      </c>
      <c r="AA52" s="1">
        <f t="shared" si="15"/>
        <v>0</v>
      </c>
      <c r="AB52" s="16">
        <f t="shared" si="39"/>
        <v>1561.7096774193549</v>
      </c>
      <c r="AC52" s="16">
        <f t="shared" si="8"/>
        <v>20142.354838709678</v>
      </c>
    </row>
    <row r="53" spans="1:29" x14ac:dyDescent="0.2">
      <c r="A53" s="10" t="s">
        <v>768</v>
      </c>
      <c r="B53" s="11">
        <f t="shared" si="16"/>
        <v>48</v>
      </c>
      <c r="C53" s="11" t="s">
        <v>444</v>
      </c>
      <c r="D53" s="11" t="s">
        <v>51</v>
      </c>
      <c r="E53" s="11" t="s">
        <v>658</v>
      </c>
      <c r="F53" s="22">
        <v>42888</v>
      </c>
      <c r="G53" s="11">
        <v>34</v>
      </c>
      <c r="H53" s="13">
        <f t="shared" si="0"/>
        <v>5483.8709677419356</v>
      </c>
      <c r="I53" s="13">
        <f t="shared" si="9"/>
        <v>0</v>
      </c>
      <c r="J53" s="13">
        <f t="shared" si="1"/>
        <v>274.19354838709677</v>
      </c>
      <c r="L53" s="13">
        <f t="shared" si="10"/>
        <v>877.41935483870964</v>
      </c>
      <c r="N53" s="13">
        <f t="shared" si="38"/>
        <v>5422.4516129032254</v>
      </c>
      <c r="O53" s="13">
        <v>1000</v>
      </c>
      <c r="P53" s="13">
        <f t="shared" si="11"/>
        <v>13057.935483870966</v>
      </c>
      <c r="Q53" s="12">
        <f t="shared" si="2"/>
        <v>658.0645161290322</v>
      </c>
      <c r="R53" s="12">
        <f t="shared" si="3"/>
        <v>229</v>
      </c>
      <c r="S53" s="21">
        <f t="shared" si="12"/>
        <v>200</v>
      </c>
      <c r="T53" s="13">
        <v>0</v>
      </c>
      <c r="U53" s="13">
        <f t="shared" si="34"/>
        <v>1087.0645161290322</v>
      </c>
      <c r="V53" s="13">
        <f t="shared" si="5"/>
        <v>11970.870967741934</v>
      </c>
      <c r="X53" s="13">
        <f t="shared" si="13"/>
        <v>11970.870967741934</v>
      </c>
      <c r="Y53" s="12">
        <f t="shared" si="14"/>
        <v>721.12903225806451</v>
      </c>
      <c r="Z53" s="12">
        <f t="shared" si="6"/>
        <v>621</v>
      </c>
      <c r="AA53" s="1">
        <f t="shared" si="15"/>
        <v>0</v>
      </c>
      <c r="AB53" s="16">
        <f t="shared" si="39"/>
        <v>1342.1290322580644</v>
      </c>
      <c r="AC53" s="16">
        <f t="shared" si="8"/>
        <v>14400.06451612903</v>
      </c>
    </row>
    <row r="54" spans="1:29" x14ac:dyDescent="0.2">
      <c r="A54" s="10" t="s">
        <v>769</v>
      </c>
      <c r="B54" s="11">
        <f t="shared" si="16"/>
        <v>49</v>
      </c>
      <c r="C54" s="11" t="s">
        <v>445</v>
      </c>
      <c r="D54" s="11" t="s">
        <v>51</v>
      </c>
      <c r="E54" s="11" t="s">
        <v>237</v>
      </c>
      <c r="F54" s="22">
        <v>42888</v>
      </c>
      <c r="G54" s="11">
        <v>37</v>
      </c>
      <c r="H54" s="13">
        <f t="shared" si="0"/>
        <v>5967.7419354838703</v>
      </c>
      <c r="I54" s="13">
        <f t="shared" si="9"/>
        <v>0</v>
      </c>
      <c r="J54" s="13">
        <f t="shared" si="1"/>
        <v>298.38709677419354</v>
      </c>
      <c r="L54" s="13">
        <f t="shared" si="10"/>
        <v>954.83870967741927</v>
      </c>
      <c r="N54" s="13">
        <f t="shared" si="38"/>
        <v>5900.9032258064508</v>
      </c>
      <c r="O54" s="13">
        <v>1000</v>
      </c>
      <c r="P54" s="13">
        <f t="shared" si="11"/>
        <v>14121.870967741934</v>
      </c>
      <c r="Q54" s="12">
        <f t="shared" si="2"/>
        <v>716.1290322580644</v>
      </c>
      <c r="R54" s="12">
        <f t="shared" si="3"/>
        <v>248</v>
      </c>
      <c r="S54" s="21">
        <f t="shared" si="12"/>
        <v>200</v>
      </c>
      <c r="T54" s="13">
        <v>0</v>
      </c>
      <c r="U54" s="13">
        <f t="shared" si="34"/>
        <v>1164.1290322580644</v>
      </c>
      <c r="V54" s="13">
        <f t="shared" si="5"/>
        <v>12957.741935483869</v>
      </c>
      <c r="X54" s="13">
        <f t="shared" si="13"/>
        <v>12957.741935483869</v>
      </c>
      <c r="Y54" s="12">
        <f t="shared" si="14"/>
        <v>784.75806451612902</v>
      </c>
      <c r="Z54" s="12">
        <f t="shared" si="6"/>
        <v>671</v>
      </c>
      <c r="AA54" s="1">
        <f t="shared" si="15"/>
        <v>0</v>
      </c>
      <c r="AB54" s="16">
        <f t="shared" si="39"/>
        <v>1455.758064516129</v>
      </c>
      <c r="AC54" s="16">
        <f t="shared" si="8"/>
        <v>15577.629032258063</v>
      </c>
    </row>
    <row r="55" spans="1:29" x14ac:dyDescent="0.2">
      <c r="A55" s="10" t="s">
        <v>770</v>
      </c>
      <c r="B55" s="11">
        <f t="shared" si="16"/>
        <v>50</v>
      </c>
      <c r="C55" s="11" t="s">
        <v>446</v>
      </c>
      <c r="D55" s="11" t="s">
        <v>51</v>
      </c>
      <c r="E55" s="11" t="s">
        <v>658</v>
      </c>
      <c r="F55" s="22">
        <v>42893</v>
      </c>
      <c r="G55" s="11">
        <v>19</v>
      </c>
      <c r="H55" s="13">
        <f t="shared" si="0"/>
        <v>3064.516129032258</v>
      </c>
      <c r="I55" s="13">
        <f t="shared" si="9"/>
        <v>0</v>
      </c>
      <c r="J55" s="13">
        <f t="shared" si="1"/>
        <v>153.2258064516129</v>
      </c>
      <c r="L55" s="13">
        <f t="shared" si="10"/>
        <v>490.32258064516128</v>
      </c>
      <c r="N55" s="13">
        <f t="shared" si="38"/>
        <v>3030.1935483870966</v>
      </c>
      <c r="P55" s="13">
        <f t="shared" si="11"/>
        <v>6738.2580645161288</v>
      </c>
      <c r="Q55" s="12">
        <f t="shared" si="2"/>
        <v>367.74193548387098</v>
      </c>
      <c r="R55" s="12">
        <f t="shared" si="3"/>
        <v>118</v>
      </c>
      <c r="S55" s="21">
        <f t="shared" si="12"/>
        <v>0</v>
      </c>
      <c r="T55" s="13">
        <v>0</v>
      </c>
      <c r="U55" s="13">
        <f t="shared" si="34"/>
        <v>485.74193548387098</v>
      </c>
      <c r="V55" s="13">
        <f t="shared" si="5"/>
        <v>6252.5161290322576</v>
      </c>
      <c r="X55" s="13">
        <f t="shared" si="13"/>
        <v>6252.5161290322576</v>
      </c>
      <c r="Y55" s="12">
        <f t="shared" si="14"/>
        <v>402.98387096774195</v>
      </c>
      <c r="Z55" s="12">
        <f t="shared" si="6"/>
        <v>321</v>
      </c>
      <c r="AA55" s="1">
        <f t="shared" si="15"/>
        <v>0</v>
      </c>
      <c r="AB55" s="16">
        <f t="shared" si="39"/>
        <v>723.98387096774195</v>
      </c>
      <c r="AC55" s="16">
        <f t="shared" si="8"/>
        <v>7462.2419354838712</v>
      </c>
    </row>
    <row r="56" spans="1:29" x14ac:dyDescent="0.2">
      <c r="A56" s="10" t="s">
        <v>771</v>
      </c>
      <c r="B56" s="11">
        <f t="shared" si="16"/>
        <v>51</v>
      </c>
      <c r="C56" s="11" t="s">
        <v>990</v>
      </c>
      <c r="D56" s="11" t="s">
        <v>51</v>
      </c>
      <c r="E56" s="11" t="s">
        <v>236</v>
      </c>
      <c r="F56" s="22">
        <v>42887</v>
      </c>
      <c r="G56" s="11">
        <v>34</v>
      </c>
      <c r="H56" s="13">
        <f t="shared" si="0"/>
        <v>5483.8709677419356</v>
      </c>
      <c r="I56" s="13">
        <f t="shared" si="9"/>
        <v>0</v>
      </c>
      <c r="J56" s="13">
        <f t="shared" si="1"/>
        <v>274.19354838709677</v>
      </c>
      <c r="L56" s="13">
        <f t="shared" si="10"/>
        <v>877.41935483870964</v>
      </c>
      <c r="N56" s="13">
        <f t="shared" ref="N56:N79" si="40">((2950)/G$3)*G56</f>
        <v>3235.483870967742</v>
      </c>
      <c r="O56" s="13">
        <v>1000</v>
      </c>
      <c r="P56" s="13">
        <f t="shared" si="11"/>
        <v>10870.967741935483</v>
      </c>
      <c r="Q56" s="12">
        <f t="shared" si="2"/>
        <v>658.0645161290322</v>
      </c>
      <c r="R56" s="12">
        <f t="shared" si="3"/>
        <v>191</v>
      </c>
      <c r="S56" s="21">
        <f t="shared" si="12"/>
        <v>200</v>
      </c>
      <c r="T56" s="13">
        <v>0</v>
      </c>
      <c r="U56" s="13">
        <f t="shared" si="34"/>
        <v>1049.0645161290322</v>
      </c>
      <c r="V56" s="13">
        <f t="shared" si="5"/>
        <v>9821.9032258064508</v>
      </c>
      <c r="X56" s="13">
        <f t="shared" si="13"/>
        <v>9821.9032258064508</v>
      </c>
      <c r="Y56" s="12">
        <f t="shared" si="14"/>
        <v>721.12903225806451</v>
      </c>
      <c r="Z56" s="12">
        <f t="shared" si="6"/>
        <v>517</v>
      </c>
      <c r="AA56" s="1">
        <f t="shared" si="15"/>
        <v>0</v>
      </c>
      <c r="AB56" s="16">
        <f t="shared" si="39"/>
        <v>1238.1290322580644</v>
      </c>
      <c r="AC56" s="16">
        <f t="shared" si="8"/>
        <v>12109.096774193547</v>
      </c>
    </row>
    <row r="57" spans="1:29" x14ac:dyDescent="0.2">
      <c r="A57" s="10" t="s">
        <v>772</v>
      </c>
      <c r="B57" s="11">
        <f t="shared" si="16"/>
        <v>52</v>
      </c>
      <c r="C57" s="11" t="s">
        <v>432</v>
      </c>
      <c r="D57" s="11" t="s">
        <v>51</v>
      </c>
      <c r="E57" s="11" t="s">
        <v>236</v>
      </c>
      <c r="F57" s="22">
        <v>42887</v>
      </c>
      <c r="G57" s="11">
        <v>24</v>
      </c>
      <c r="H57" s="13">
        <f t="shared" si="0"/>
        <v>3870.9677419354839</v>
      </c>
      <c r="I57" s="13">
        <f t="shared" si="9"/>
        <v>0</v>
      </c>
      <c r="J57" s="13">
        <f t="shared" si="1"/>
        <v>193.54838709677421</v>
      </c>
      <c r="L57" s="13">
        <f t="shared" si="10"/>
        <v>619.35483870967732</v>
      </c>
      <c r="N57" s="13">
        <f t="shared" si="40"/>
        <v>2283.8709677419356</v>
      </c>
      <c r="P57" s="13">
        <f t="shared" si="11"/>
        <v>6967.7419354838712</v>
      </c>
      <c r="Q57" s="12">
        <f t="shared" si="2"/>
        <v>464.51612903225805</v>
      </c>
      <c r="R57" s="12">
        <f t="shared" si="3"/>
        <v>122</v>
      </c>
      <c r="S57" s="21">
        <f t="shared" si="12"/>
        <v>0</v>
      </c>
      <c r="T57" s="13">
        <v>0</v>
      </c>
      <c r="U57" s="13">
        <f t="shared" si="34"/>
        <v>586.51612903225805</v>
      </c>
      <c r="V57" s="13">
        <f t="shared" si="5"/>
        <v>6381.2258064516136</v>
      </c>
      <c r="X57" s="13">
        <f t="shared" si="13"/>
        <v>6381.2258064516136</v>
      </c>
      <c r="Y57" s="12">
        <f t="shared" si="14"/>
        <v>509.03225806451616</v>
      </c>
      <c r="Z57" s="12">
        <f t="shared" si="6"/>
        <v>331</v>
      </c>
      <c r="AA57" s="1">
        <f t="shared" si="15"/>
        <v>0</v>
      </c>
      <c r="AB57" s="16">
        <f t="shared" si="39"/>
        <v>840.0322580645161</v>
      </c>
      <c r="AC57" s="16">
        <f t="shared" si="8"/>
        <v>7807.7741935483873</v>
      </c>
    </row>
    <row r="58" spans="1:29" x14ac:dyDescent="0.2">
      <c r="A58" s="10" t="s">
        <v>773</v>
      </c>
      <c r="B58" s="11">
        <f t="shared" si="16"/>
        <v>53</v>
      </c>
      <c r="C58" s="11" t="s">
        <v>433</v>
      </c>
      <c r="D58" s="11" t="s">
        <v>51</v>
      </c>
      <c r="E58" s="11" t="s">
        <v>236</v>
      </c>
      <c r="F58" s="22">
        <v>42887</v>
      </c>
      <c r="G58" s="11">
        <v>27</v>
      </c>
      <c r="H58" s="13">
        <f t="shared" si="0"/>
        <v>4354.8387096774195</v>
      </c>
      <c r="I58" s="13">
        <f t="shared" si="9"/>
        <v>0</v>
      </c>
      <c r="J58" s="13">
        <f t="shared" si="1"/>
        <v>217.74193548387098</v>
      </c>
      <c r="L58" s="13">
        <f t="shared" si="10"/>
        <v>696.77419354838707</v>
      </c>
      <c r="N58" s="13">
        <f t="shared" si="40"/>
        <v>2569.3548387096771</v>
      </c>
      <c r="P58" s="13">
        <f t="shared" si="11"/>
        <v>7838.7096774193551</v>
      </c>
      <c r="Q58" s="12">
        <f t="shared" si="2"/>
        <v>522.58064516129036</v>
      </c>
      <c r="R58" s="12">
        <f t="shared" si="3"/>
        <v>138</v>
      </c>
      <c r="S58" s="21">
        <f t="shared" si="12"/>
        <v>175</v>
      </c>
      <c r="T58" s="13">
        <v>0</v>
      </c>
      <c r="U58" s="13">
        <f t="shared" si="34"/>
        <v>835.58064516129036</v>
      </c>
      <c r="V58" s="13">
        <f t="shared" si="5"/>
        <v>7003.1290322580644</v>
      </c>
      <c r="X58" s="13">
        <f t="shared" si="13"/>
        <v>7003.1290322580644</v>
      </c>
      <c r="Y58" s="12">
        <f t="shared" si="14"/>
        <v>572.66129032258073</v>
      </c>
      <c r="Z58" s="12">
        <f t="shared" si="6"/>
        <v>373</v>
      </c>
      <c r="AA58" s="1">
        <f t="shared" si="15"/>
        <v>0</v>
      </c>
      <c r="AB58" s="16">
        <f t="shared" si="39"/>
        <v>945.66129032258073</v>
      </c>
      <c r="AC58" s="16">
        <f t="shared" si="8"/>
        <v>8784.3709677419356</v>
      </c>
    </row>
    <row r="59" spans="1:29" x14ac:dyDescent="0.2">
      <c r="A59" s="10" t="s">
        <v>774</v>
      </c>
      <c r="B59" s="11">
        <f t="shared" si="16"/>
        <v>54</v>
      </c>
      <c r="C59" s="11" t="s">
        <v>447</v>
      </c>
      <c r="D59" s="11" t="s">
        <v>51</v>
      </c>
      <c r="E59" s="11" t="s">
        <v>236</v>
      </c>
      <c r="F59" s="22">
        <v>42887</v>
      </c>
      <c r="G59" s="11">
        <v>34</v>
      </c>
      <c r="H59" s="13">
        <f t="shared" si="0"/>
        <v>5483.8709677419356</v>
      </c>
      <c r="I59" s="13">
        <f t="shared" si="9"/>
        <v>0</v>
      </c>
      <c r="J59" s="13">
        <f t="shared" si="1"/>
        <v>274.19354838709677</v>
      </c>
      <c r="L59" s="13">
        <f t="shared" si="10"/>
        <v>877.41935483870964</v>
      </c>
      <c r="N59" s="13">
        <f t="shared" si="40"/>
        <v>3235.483870967742</v>
      </c>
      <c r="P59" s="13">
        <f t="shared" ref="P59:P156" si="41">SUM(H59:O59)</f>
        <v>9870.967741935483</v>
      </c>
      <c r="Q59" s="12">
        <f t="shared" si="2"/>
        <v>658.0645161290322</v>
      </c>
      <c r="R59" s="12">
        <f t="shared" si="3"/>
        <v>173</v>
      </c>
      <c r="S59" s="21">
        <f t="shared" si="12"/>
        <v>175</v>
      </c>
      <c r="T59" s="13">
        <v>0</v>
      </c>
      <c r="U59" s="13">
        <f t="shared" si="34"/>
        <v>1006.0645161290322</v>
      </c>
      <c r="V59" s="13">
        <f t="shared" si="5"/>
        <v>8864.9032258064508</v>
      </c>
      <c r="X59" s="13">
        <f t="shared" si="13"/>
        <v>8864.9032258064508</v>
      </c>
      <c r="Y59" s="12">
        <f t="shared" si="14"/>
        <v>721.12903225806451</v>
      </c>
      <c r="Z59" s="12">
        <f t="shared" si="6"/>
        <v>469</v>
      </c>
      <c r="AA59" s="1">
        <f t="shared" si="15"/>
        <v>0</v>
      </c>
      <c r="AB59" s="16">
        <f t="shared" si="39"/>
        <v>1190.1290322580644</v>
      </c>
      <c r="AC59" s="16">
        <f t="shared" si="8"/>
        <v>11061.096774193547</v>
      </c>
    </row>
    <row r="60" spans="1:29" x14ac:dyDescent="0.2">
      <c r="A60" s="10" t="s">
        <v>775</v>
      </c>
      <c r="B60" s="11">
        <f t="shared" si="16"/>
        <v>55</v>
      </c>
      <c r="C60" s="11" t="s">
        <v>448</v>
      </c>
      <c r="D60" s="11" t="s">
        <v>51</v>
      </c>
      <c r="E60" s="11" t="s">
        <v>236</v>
      </c>
      <c r="F60" s="22">
        <v>42887</v>
      </c>
      <c r="G60" s="11">
        <v>34</v>
      </c>
      <c r="H60" s="13">
        <f t="shared" si="0"/>
        <v>5483.8709677419356</v>
      </c>
      <c r="I60" s="13">
        <f t="shared" si="9"/>
        <v>0</v>
      </c>
      <c r="J60" s="13">
        <f t="shared" si="1"/>
        <v>274.19354838709677</v>
      </c>
      <c r="L60" s="13">
        <f t="shared" si="10"/>
        <v>877.41935483870964</v>
      </c>
      <c r="N60" s="13">
        <f t="shared" si="40"/>
        <v>3235.483870967742</v>
      </c>
      <c r="P60" s="13">
        <f t="shared" si="41"/>
        <v>9870.967741935483</v>
      </c>
      <c r="Q60" s="12">
        <f t="shared" si="2"/>
        <v>658.0645161290322</v>
      </c>
      <c r="R60" s="12">
        <f t="shared" si="3"/>
        <v>173</v>
      </c>
      <c r="S60" s="21">
        <f t="shared" si="12"/>
        <v>175</v>
      </c>
      <c r="T60" s="13">
        <v>0</v>
      </c>
      <c r="U60" s="13">
        <f t="shared" si="34"/>
        <v>1006.0645161290322</v>
      </c>
      <c r="V60" s="13">
        <f t="shared" si="5"/>
        <v>8864.9032258064508</v>
      </c>
      <c r="X60" s="13">
        <f t="shared" si="13"/>
        <v>8864.9032258064508</v>
      </c>
      <c r="Y60" s="12">
        <f t="shared" si="14"/>
        <v>721.12903225806451</v>
      </c>
      <c r="Z60" s="12">
        <f t="shared" si="6"/>
        <v>469</v>
      </c>
      <c r="AA60" s="1">
        <f t="shared" si="15"/>
        <v>0</v>
      </c>
      <c r="AB60" s="16">
        <f t="shared" si="39"/>
        <v>1190.1290322580644</v>
      </c>
      <c r="AC60" s="16">
        <f t="shared" si="8"/>
        <v>11061.096774193547</v>
      </c>
    </row>
    <row r="61" spans="1:29" x14ac:dyDescent="0.2">
      <c r="A61" s="10" t="s">
        <v>776</v>
      </c>
      <c r="B61" s="11">
        <f t="shared" si="16"/>
        <v>56</v>
      </c>
      <c r="C61" s="11" t="s">
        <v>434</v>
      </c>
      <c r="D61" s="11" t="s">
        <v>51</v>
      </c>
      <c r="E61" s="11" t="s">
        <v>658</v>
      </c>
      <c r="F61" s="22">
        <v>42887</v>
      </c>
      <c r="G61" s="11">
        <v>32</v>
      </c>
      <c r="H61" s="13">
        <f t="shared" si="0"/>
        <v>5161.2903225806449</v>
      </c>
      <c r="I61" s="13">
        <f t="shared" si="9"/>
        <v>0</v>
      </c>
      <c r="J61" s="13">
        <f t="shared" si="1"/>
        <v>258.06451612903226</v>
      </c>
      <c r="L61" s="13">
        <f t="shared" si="10"/>
        <v>825.80645161290317</v>
      </c>
      <c r="N61" s="13">
        <f t="shared" ref="N61:N78" si="42">((1950+1000+611+1383)/G$3)*G61</f>
        <v>5103.4838709677415</v>
      </c>
      <c r="P61" s="13">
        <f t="shared" si="41"/>
        <v>11348.645161290322</v>
      </c>
      <c r="Q61" s="12">
        <f t="shared" si="2"/>
        <v>619.35483870967732</v>
      </c>
      <c r="R61" s="12">
        <f t="shared" si="3"/>
        <v>199</v>
      </c>
      <c r="S61" s="21">
        <f t="shared" si="12"/>
        <v>200</v>
      </c>
      <c r="T61" s="13">
        <v>0</v>
      </c>
      <c r="U61" s="13">
        <f t="shared" si="34"/>
        <v>1018.3548387096773</v>
      </c>
      <c r="V61" s="13">
        <f t="shared" si="5"/>
        <v>10330.290322580644</v>
      </c>
      <c r="X61" s="13">
        <f t="shared" si="13"/>
        <v>10330.290322580644</v>
      </c>
      <c r="Y61" s="12">
        <f t="shared" si="14"/>
        <v>678.70967741935488</v>
      </c>
      <c r="Z61" s="12">
        <f t="shared" si="6"/>
        <v>540</v>
      </c>
      <c r="AA61" s="1">
        <f t="shared" si="15"/>
        <v>0</v>
      </c>
      <c r="AB61" s="16">
        <f t="shared" si="39"/>
        <v>1218.7096774193549</v>
      </c>
      <c r="AC61" s="16">
        <f t="shared" si="8"/>
        <v>12567.354838709676</v>
      </c>
    </row>
    <row r="62" spans="1:29" x14ac:dyDescent="0.2">
      <c r="A62" s="10" t="s">
        <v>777</v>
      </c>
      <c r="B62" s="11">
        <f t="shared" si="16"/>
        <v>57</v>
      </c>
      <c r="C62" s="52" t="s">
        <v>435</v>
      </c>
      <c r="D62" s="11" t="s">
        <v>51</v>
      </c>
      <c r="E62" s="11" t="s">
        <v>658</v>
      </c>
      <c r="F62" s="22">
        <v>42887</v>
      </c>
      <c r="G62" s="11">
        <v>18</v>
      </c>
      <c r="H62" s="13">
        <f t="shared" si="0"/>
        <v>2903.2258064516127</v>
      </c>
      <c r="I62" s="13">
        <f t="shared" si="9"/>
        <v>0</v>
      </c>
      <c r="J62" s="13">
        <f t="shared" si="1"/>
        <v>145.16129032258064</v>
      </c>
      <c r="L62" s="13">
        <f t="shared" si="10"/>
        <v>464.51612903225805</v>
      </c>
      <c r="N62" s="13">
        <f t="shared" si="42"/>
        <v>2870.7096774193546</v>
      </c>
      <c r="P62" s="13">
        <f t="shared" si="41"/>
        <v>6383.6129032258059</v>
      </c>
      <c r="Q62" s="12">
        <f t="shared" si="2"/>
        <v>348.38709677419354</v>
      </c>
      <c r="R62" s="12">
        <f t="shared" si="3"/>
        <v>112</v>
      </c>
      <c r="S62" s="21">
        <f t="shared" si="12"/>
        <v>0</v>
      </c>
      <c r="T62" s="13">
        <v>0</v>
      </c>
      <c r="U62" s="13">
        <f t="shared" si="34"/>
        <v>460.38709677419354</v>
      </c>
      <c r="V62" s="13">
        <f t="shared" si="5"/>
        <v>5923.2258064516127</v>
      </c>
      <c r="X62" s="13">
        <f t="shared" si="13"/>
        <v>5923.2258064516127</v>
      </c>
      <c r="Y62" s="12">
        <f t="shared" si="14"/>
        <v>381.77419354838707</v>
      </c>
      <c r="Z62" s="12">
        <f t="shared" si="6"/>
        <v>304</v>
      </c>
      <c r="AA62" s="1">
        <f t="shared" si="15"/>
        <v>0</v>
      </c>
      <c r="AB62" s="16">
        <f t="shared" si="39"/>
        <v>685.77419354838707</v>
      </c>
      <c r="AC62" s="16">
        <f t="shared" si="8"/>
        <v>7069.3870967741932</v>
      </c>
    </row>
    <row r="63" spans="1:29" x14ac:dyDescent="0.2">
      <c r="A63" s="10" t="s">
        <v>778</v>
      </c>
      <c r="B63" s="11">
        <f t="shared" si="16"/>
        <v>58</v>
      </c>
      <c r="C63" s="11" t="s">
        <v>436</v>
      </c>
      <c r="D63" s="11" t="s">
        <v>51</v>
      </c>
      <c r="E63" s="11" t="s">
        <v>658</v>
      </c>
      <c r="F63" s="22">
        <v>42887</v>
      </c>
      <c r="G63" s="11">
        <v>31</v>
      </c>
      <c r="H63" s="13">
        <f t="shared" si="0"/>
        <v>5000</v>
      </c>
      <c r="I63" s="13">
        <f t="shared" si="9"/>
        <v>0</v>
      </c>
      <c r="J63" s="13">
        <f t="shared" si="1"/>
        <v>250</v>
      </c>
      <c r="L63" s="13">
        <f t="shared" si="10"/>
        <v>800</v>
      </c>
      <c r="N63" s="13">
        <f t="shared" si="42"/>
        <v>4944</v>
      </c>
      <c r="P63" s="13">
        <f t="shared" si="41"/>
        <v>10994</v>
      </c>
      <c r="Q63" s="12">
        <f t="shared" si="2"/>
        <v>600</v>
      </c>
      <c r="R63" s="12">
        <f t="shared" si="3"/>
        <v>193</v>
      </c>
      <c r="S63" s="21">
        <f t="shared" si="12"/>
        <v>200</v>
      </c>
      <c r="T63" s="13">
        <v>0</v>
      </c>
      <c r="U63" s="13">
        <f t="shared" si="34"/>
        <v>993</v>
      </c>
      <c r="V63" s="13">
        <f t="shared" si="5"/>
        <v>10001</v>
      </c>
      <c r="X63" s="13">
        <f t="shared" si="13"/>
        <v>10001</v>
      </c>
      <c r="Y63" s="12">
        <f t="shared" si="14"/>
        <v>657.5</v>
      </c>
      <c r="Z63" s="12">
        <f t="shared" si="6"/>
        <v>523</v>
      </c>
      <c r="AA63" s="1">
        <f t="shared" si="15"/>
        <v>0</v>
      </c>
      <c r="AB63" s="16">
        <f t="shared" si="39"/>
        <v>1180.5</v>
      </c>
      <c r="AC63" s="16">
        <f t="shared" si="8"/>
        <v>12174.5</v>
      </c>
    </row>
    <row r="64" spans="1:29" x14ac:dyDescent="0.2">
      <c r="A64" s="10" t="s">
        <v>779</v>
      </c>
      <c r="B64" s="11">
        <f t="shared" si="16"/>
        <v>59</v>
      </c>
      <c r="C64" s="11" t="s">
        <v>449</v>
      </c>
      <c r="D64" s="11" t="s">
        <v>51</v>
      </c>
      <c r="E64" s="11" t="s">
        <v>237</v>
      </c>
      <c r="F64" s="22">
        <v>42888</v>
      </c>
      <c r="G64" s="11">
        <v>29</v>
      </c>
      <c r="H64" s="13">
        <f t="shared" si="0"/>
        <v>4677.4193548387093</v>
      </c>
      <c r="I64" s="13">
        <f t="shared" si="9"/>
        <v>0</v>
      </c>
      <c r="J64" s="13">
        <f t="shared" si="1"/>
        <v>233.87096774193549</v>
      </c>
      <c r="L64" s="13">
        <f t="shared" si="10"/>
        <v>748.38709677419354</v>
      </c>
      <c r="N64" s="13">
        <f t="shared" si="42"/>
        <v>4625.0322580645161</v>
      </c>
      <c r="P64" s="13">
        <f t="shared" si="41"/>
        <v>10284.709677419354</v>
      </c>
      <c r="Q64" s="12">
        <f t="shared" si="2"/>
        <v>561.29032258064512</v>
      </c>
      <c r="R64" s="12">
        <f t="shared" si="3"/>
        <v>180</v>
      </c>
      <c r="S64" s="21">
        <f t="shared" si="12"/>
        <v>200</v>
      </c>
      <c r="T64" s="13">
        <v>0</v>
      </c>
      <c r="U64" s="13">
        <f t="shared" si="34"/>
        <v>941.29032258064512</v>
      </c>
      <c r="V64" s="13">
        <f t="shared" si="5"/>
        <v>9343.4193548387084</v>
      </c>
      <c r="X64" s="13">
        <f t="shared" si="13"/>
        <v>9343.4193548387084</v>
      </c>
      <c r="Y64" s="12">
        <f t="shared" si="14"/>
        <v>615.08064516129025</v>
      </c>
      <c r="Z64" s="12">
        <f t="shared" si="6"/>
        <v>489</v>
      </c>
      <c r="AA64" s="1">
        <f t="shared" si="15"/>
        <v>0</v>
      </c>
      <c r="AB64" s="16">
        <f t="shared" si="39"/>
        <v>1104.0806451612902</v>
      </c>
      <c r="AC64" s="16">
        <f t="shared" si="8"/>
        <v>11388.790322580644</v>
      </c>
    </row>
    <row r="65" spans="1:29" x14ac:dyDescent="0.2">
      <c r="A65" s="10" t="s">
        <v>780</v>
      </c>
      <c r="B65" s="11">
        <f t="shared" si="16"/>
        <v>60</v>
      </c>
      <c r="C65" s="52" t="s">
        <v>450</v>
      </c>
      <c r="D65" s="11" t="s">
        <v>51</v>
      </c>
      <c r="E65" s="11" t="s">
        <v>658</v>
      </c>
      <c r="F65" s="22">
        <v>42890</v>
      </c>
      <c r="G65" s="11">
        <v>4</v>
      </c>
      <c r="H65" s="13">
        <f t="shared" si="0"/>
        <v>645.16129032258061</v>
      </c>
      <c r="I65" s="13">
        <f t="shared" si="9"/>
        <v>0</v>
      </c>
      <c r="J65" s="13">
        <f t="shared" si="1"/>
        <v>32.258064516129032</v>
      </c>
      <c r="L65" s="13">
        <f t="shared" si="10"/>
        <v>103.2258064516129</v>
      </c>
      <c r="N65" s="13">
        <f t="shared" si="42"/>
        <v>637.93548387096769</v>
      </c>
      <c r="P65" s="13">
        <f t="shared" si="41"/>
        <v>1418.5806451612902</v>
      </c>
      <c r="Q65" s="12">
        <f t="shared" si="2"/>
        <v>77.419354838709666</v>
      </c>
      <c r="R65" s="12">
        <f t="shared" si="3"/>
        <v>25</v>
      </c>
      <c r="S65" s="21">
        <f t="shared" si="12"/>
        <v>0</v>
      </c>
      <c r="T65" s="13">
        <v>0</v>
      </c>
      <c r="U65" s="13">
        <f t="shared" si="34"/>
        <v>102.41935483870967</v>
      </c>
      <c r="V65" s="13">
        <f t="shared" si="5"/>
        <v>1316.1612903225805</v>
      </c>
      <c r="X65" s="13">
        <f t="shared" si="13"/>
        <v>1316.1612903225805</v>
      </c>
      <c r="Y65" s="12">
        <f t="shared" si="14"/>
        <v>84.838709677419359</v>
      </c>
      <c r="Z65" s="12">
        <f t="shared" si="6"/>
        <v>68</v>
      </c>
      <c r="AA65" s="1">
        <f t="shared" si="15"/>
        <v>0</v>
      </c>
      <c r="AB65" s="16">
        <f t="shared" si="39"/>
        <v>152.83870967741936</v>
      </c>
      <c r="AC65" s="16">
        <f t="shared" si="8"/>
        <v>1571.4193548387095</v>
      </c>
    </row>
    <row r="66" spans="1:29" x14ac:dyDescent="0.2">
      <c r="A66" s="10" t="s">
        <v>781</v>
      </c>
      <c r="B66" s="11">
        <f t="shared" si="16"/>
        <v>61</v>
      </c>
      <c r="C66" s="11" t="s">
        <v>451</v>
      </c>
      <c r="D66" s="11" t="s">
        <v>51</v>
      </c>
      <c r="E66" s="11" t="s">
        <v>237</v>
      </c>
      <c r="F66" s="22">
        <v>42893</v>
      </c>
      <c r="G66" s="11">
        <v>35</v>
      </c>
      <c r="H66" s="13">
        <f t="shared" si="0"/>
        <v>5645.1612903225805</v>
      </c>
      <c r="I66" s="13">
        <f t="shared" si="9"/>
        <v>0</v>
      </c>
      <c r="J66" s="13">
        <f t="shared" si="1"/>
        <v>282.25806451612902</v>
      </c>
      <c r="L66" s="13">
        <f t="shared" si="10"/>
        <v>903.22580645161281</v>
      </c>
      <c r="N66" s="13">
        <f t="shared" si="42"/>
        <v>5581.9354838709669</v>
      </c>
      <c r="O66" s="13">
        <v>1000</v>
      </c>
      <c r="P66" s="13">
        <f t="shared" si="41"/>
        <v>13412.580645161288</v>
      </c>
      <c r="Q66" s="12">
        <f t="shared" si="2"/>
        <v>677.41935483870964</v>
      </c>
      <c r="R66" s="12">
        <f t="shared" si="3"/>
        <v>235</v>
      </c>
      <c r="S66" s="21">
        <f t="shared" si="12"/>
        <v>200</v>
      </c>
      <c r="T66" s="13">
        <v>0</v>
      </c>
      <c r="U66" s="13">
        <f t="shared" si="34"/>
        <v>1112.4193548387098</v>
      </c>
      <c r="V66" s="13">
        <f t="shared" si="5"/>
        <v>12300.161290322578</v>
      </c>
      <c r="X66" s="13">
        <f t="shared" si="13"/>
        <v>12300.161290322578</v>
      </c>
      <c r="Y66" s="12">
        <f t="shared" si="14"/>
        <v>742.33870967741939</v>
      </c>
      <c r="Z66" s="12">
        <f t="shared" si="6"/>
        <v>638</v>
      </c>
      <c r="AA66" s="1">
        <f t="shared" si="15"/>
        <v>0</v>
      </c>
      <c r="AB66" s="16">
        <f t="shared" si="39"/>
        <v>1380.3387096774195</v>
      </c>
      <c r="AC66" s="16">
        <f t="shared" si="8"/>
        <v>14792.919354838708</v>
      </c>
    </row>
    <row r="67" spans="1:29" x14ac:dyDescent="0.2">
      <c r="A67" s="10" t="s">
        <v>782</v>
      </c>
      <c r="B67" s="11">
        <f t="shared" si="16"/>
        <v>62</v>
      </c>
      <c r="C67" s="11" t="s">
        <v>452</v>
      </c>
      <c r="D67" s="11" t="s">
        <v>51</v>
      </c>
      <c r="E67" s="11" t="s">
        <v>658</v>
      </c>
      <c r="F67" s="22">
        <v>42893</v>
      </c>
      <c r="G67" s="11">
        <v>37</v>
      </c>
      <c r="H67" s="13">
        <f t="shared" si="0"/>
        <v>5967.7419354838703</v>
      </c>
      <c r="I67" s="13">
        <f t="shared" si="9"/>
        <v>0</v>
      </c>
      <c r="J67" s="13">
        <f t="shared" si="1"/>
        <v>298.38709677419354</v>
      </c>
      <c r="L67" s="13">
        <f t="shared" si="10"/>
        <v>954.83870967741927</v>
      </c>
      <c r="N67" s="13">
        <f t="shared" si="42"/>
        <v>5900.9032258064508</v>
      </c>
      <c r="O67" s="13">
        <v>1500</v>
      </c>
      <c r="P67" s="13">
        <f t="shared" si="41"/>
        <v>14621.870967741934</v>
      </c>
      <c r="Q67" s="12">
        <f t="shared" si="2"/>
        <v>716.1290322580644</v>
      </c>
      <c r="R67" s="12">
        <f t="shared" si="3"/>
        <v>256</v>
      </c>
      <c r="S67" s="21">
        <f t="shared" si="12"/>
        <v>200</v>
      </c>
      <c r="T67" s="13">
        <v>0</v>
      </c>
      <c r="U67" s="13">
        <f t="shared" si="34"/>
        <v>1172.1290322580644</v>
      </c>
      <c r="V67" s="13">
        <f t="shared" si="5"/>
        <v>13449.741935483869</v>
      </c>
      <c r="X67" s="13">
        <f t="shared" si="13"/>
        <v>13449.741935483869</v>
      </c>
      <c r="Y67" s="12">
        <f t="shared" si="14"/>
        <v>784.75806451612902</v>
      </c>
      <c r="Z67" s="12">
        <f t="shared" si="6"/>
        <v>695</v>
      </c>
      <c r="AA67" s="1">
        <f t="shared" si="15"/>
        <v>0</v>
      </c>
      <c r="AB67" s="16">
        <f t="shared" si="39"/>
        <v>1479.758064516129</v>
      </c>
      <c r="AC67" s="16">
        <f t="shared" si="8"/>
        <v>16101.629032258063</v>
      </c>
    </row>
    <row r="68" spans="1:29" x14ac:dyDescent="0.2">
      <c r="A68" s="10" t="s">
        <v>783</v>
      </c>
      <c r="B68" s="11">
        <f t="shared" si="16"/>
        <v>63</v>
      </c>
      <c r="C68" s="11" t="s">
        <v>453</v>
      </c>
      <c r="D68" s="11" t="s">
        <v>51</v>
      </c>
      <c r="E68" s="11" t="s">
        <v>658</v>
      </c>
      <c r="F68" s="22">
        <v>42895</v>
      </c>
      <c r="G68" s="11">
        <v>25</v>
      </c>
      <c r="H68" s="13">
        <f t="shared" si="0"/>
        <v>4032.2580645161288</v>
      </c>
      <c r="I68" s="13">
        <f t="shared" si="9"/>
        <v>0</v>
      </c>
      <c r="J68" s="13">
        <f t="shared" si="1"/>
        <v>201.61290322580646</v>
      </c>
      <c r="L68" s="13">
        <f t="shared" si="10"/>
        <v>645.16129032258061</v>
      </c>
      <c r="N68" s="13">
        <f t="shared" si="42"/>
        <v>3987.0967741935478</v>
      </c>
      <c r="O68" s="13">
        <v>339</v>
      </c>
      <c r="P68" s="13">
        <f t="shared" si="41"/>
        <v>9205.1290322580644</v>
      </c>
      <c r="Q68" s="12">
        <f t="shared" si="2"/>
        <v>483.87096774193543</v>
      </c>
      <c r="R68" s="12">
        <f t="shared" si="3"/>
        <v>162</v>
      </c>
      <c r="S68" s="21">
        <f t="shared" si="12"/>
        <v>175</v>
      </c>
      <c r="T68" s="13">
        <v>0</v>
      </c>
      <c r="U68" s="13">
        <f t="shared" si="34"/>
        <v>820.87096774193537</v>
      </c>
      <c r="V68" s="13">
        <f t="shared" si="5"/>
        <v>8384.2580645161288</v>
      </c>
      <c r="X68" s="13">
        <f t="shared" si="13"/>
        <v>8384.2580645161288</v>
      </c>
      <c r="Y68" s="12">
        <f t="shared" si="14"/>
        <v>530.24193548387098</v>
      </c>
      <c r="Z68" s="12">
        <f t="shared" si="6"/>
        <v>438</v>
      </c>
      <c r="AA68" s="1">
        <f t="shared" si="15"/>
        <v>0</v>
      </c>
      <c r="AB68" s="16">
        <f t="shared" si="39"/>
        <v>968.24193548387098</v>
      </c>
      <c r="AC68" s="16">
        <f t="shared" si="8"/>
        <v>10173.370967741936</v>
      </c>
    </row>
    <row r="69" spans="1:29" x14ac:dyDescent="0.2">
      <c r="A69" s="10" t="s">
        <v>784</v>
      </c>
      <c r="B69" s="11">
        <f t="shared" si="16"/>
        <v>64</v>
      </c>
      <c r="C69" s="11" t="s">
        <v>454</v>
      </c>
      <c r="D69" s="11" t="s">
        <v>51</v>
      </c>
      <c r="E69" s="11" t="s">
        <v>658</v>
      </c>
      <c r="F69" s="22">
        <v>42895</v>
      </c>
      <c r="G69" s="11">
        <v>25</v>
      </c>
      <c r="H69" s="13">
        <f t="shared" si="0"/>
        <v>4032.2580645161288</v>
      </c>
      <c r="I69" s="13">
        <f t="shared" si="9"/>
        <v>0</v>
      </c>
      <c r="J69" s="13">
        <f t="shared" si="1"/>
        <v>201.61290322580646</v>
      </c>
      <c r="L69" s="13">
        <f t="shared" si="10"/>
        <v>645.16129032258061</v>
      </c>
      <c r="N69" s="13">
        <f t="shared" si="42"/>
        <v>3987.0967741935478</v>
      </c>
      <c r="O69" s="13">
        <v>339</v>
      </c>
      <c r="P69" s="13">
        <f t="shared" si="41"/>
        <v>9205.1290322580644</v>
      </c>
      <c r="Q69" s="12">
        <f t="shared" si="2"/>
        <v>483.87096774193543</v>
      </c>
      <c r="R69" s="12">
        <f t="shared" si="3"/>
        <v>162</v>
      </c>
      <c r="S69" s="21">
        <f t="shared" si="12"/>
        <v>175</v>
      </c>
      <c r="T69" s="13">
        <v>0</v>
      </c>
      <c r="U69" s="13">
        <f t="shared" si="34"/>
        <v>820.87096774193537</v>
      </c>
      <c r="V69" s="13">
        <f t="shared" si="5"/>
        <v>8384.2580645161288</v>
      </c>
      <c r="X69" s="13">
        <f t="shared" si="13"/>
        <v>8384.2580645161288</v>
      </c>
      <c r="Y69" s="12">
        <f t="shared" si="14"/>
        <v>530.24193548387098</v>
      </c>
      <c r="Z69" s="12">
        <f t="shared" si="6"/>
        <v>438</v>
      </c>
      <c r="AA69" s="1">
        <f t="shared" si="15"/>
        <v>0</v>
      </c>
      <c r="AB69" s="16">
        <f t="shared" si="39"/>
        <v>968.24193548387098</v>
      </c>
      <c r="AC69" s="16">
        <f t="shared" si="8"/>
        <v>10173.370967741936</v>
      </c>
    </row>
    <row r="70" spans="1:29" x14ac:dyDescent="0.2">
      <c r="A70" s="10" t="s">
        <v>785</v>
      </c>
      <c r="B70" s="11">
        <f t="shared" si="16"/>
        <v>65</v>
      </c>
      <c r="C70" s="11" t="s">
        <v>455</v>
      </c>
      <c r="D70" s="11" t="s">
        <v>51</v>
      </c>
      <c r="E70" s="11" t="s">
        <v>658</v>
      </c>
      <c r="F70" s="22">
        <v>42896</v>
      </c>
      <c r="G70" s="11">
        <v>37</v>
      </c>
      <c r="H70" s="13">
        <f t="shared" ref="H70:H133" si="43">(5000/G$3)*G70</f>
        <v>5967.7419354838703</v>
      </c>
      <c r="I70" s="13">
        <f t="shared" si="9"/>
        <v>0</v>
      </c>
      <c r="J70" s="13">
        <f t="shared" ref="J70:J133" si="44">(H70+I70)*5%</f>
        <v>298.38709677419354</v>
      </c>
      <c r="L70" s="13">
        <f t="shared" si="10"/>
        <v>954.83870967741927</v>
      </c>
      <c r="N70" s="13">
        <f t="shared" si="42"/>
        <v>5900.9032258064508</v>
      </c>
      <c r="O70" s="13">
        <v>1000</v>
      </c>
      <c r="P70" s="13">
        <f t="shared" si="41"/>
        <v>14121.870967741934</v>
      </c>
      <c r="Q70" s="12">
        <f t="shared" ref="Q70:Q133" si="45">(H70+I70)*12%</f>
        <v>716.1290322580644</v>
      </c>
      <c r="R70" s="12">
        <f t="shared" ref="R70:R133" si="46">ROUNDUP((P70*1.75%),0)</f>
        <v>248</v>
      </c>
      <c r="S70" s="21">
        <f t="shared" si="12"/>
        <v>200</v>
      </c>
      <c r="T70" s="13">
        <v>0</v>
      </c>
      <c r="U70" s="13">
        <f t="shared" si="34"/>
        <v>1164.1290322580644</v>
      </c>
      <c r="V70" s="13">
        <f t="shared" ref="V70:V133" si="47">P70-U70</f>
        <v>12957.741935483869</v>
      </c>
      <c r="X70" s="13">
        <f t="shared" si="13"/>
        <v>12957.741935483869</v>
      </c>
      <c r="Y70" s="12">
        <f t="shared" si="14"/>
        <v>784.75806451612902</v>
      </c>
      <c r="Z70" s="12">
        <f t="shared" ref="Z70:Z133" si="48">CEILING((P70)*4.75%,1)</f>
        <v>671</v>
      </c>
      <c r="AA70" s="1">
        <f t="shared" si="15"/>
        <v>0</v>
      </c>
      <c r="AB70" s="16">
        <f t="shared" si="39"/>
        <v>1455.758064516129</v>
      </c>
      <c r="AC70" s="16">
        <f t="shared" ref="AC70:AC133" si="49">P70+AB70</f>
        <v>15577.629032258063</v>
      </c>
    </row>
    <row r="71" spans="1:29" x14ac:dyDescent="0.2">
      <c r="A71" s="10" t="s">
        <v>786</v>
      </c>
      <c r="B71" s="11">
        <f t="shared" si="16"/>
        <v>66</v>
      </c>
      <c r="C71" s="11" t="s">
        <v>456</v>
      </c>
      <c r="D71" s="11" t="s">
        <v>51</v>
      </c>
      <c r="E71" s="11" t="s">
        <v>658</v>
      </c>
      <c r="F71" s="22">
        <v>42896</v>
      </c>
      <c r="G71" s="11">
        <v>32</v>
      </c>
      <c r="H71" s="13">
        <f t="shared" si="43"/>
        <v>5161.2903225806449</v>
      </c>
      <c r="I71" s="13">
        <f t="shared" ref="I71:I134" si="50">((0)/G$3)*G71</f>
        <v>0</v>
      </c>
      <c r="J71" s="13">
        <f t="shared" si="44"/>
        <v>258.06451612903226</v>
      </c>
      <c r="L71" s="13">
        <f t="shared" ref="L71:L133" si="51">((800)/G$3)*G71</f>
        <v>825.80645161290317</v>
      </c>
      <c r="N71" s="13">
        <f t="shared" si="42"/>
        <v>5103.4838709677415</v>
      </c>
      <c r="P71" s="13">
        <f t="shared" si="41"/>
        <v>11348.645161290322</v>
      </c>
      <c r="Q71" s="12">
        <f t="shared" si="45"/>
        <v>619.35483870967732</v>
      </c>
      <c r="R71" s="12">
        <f t="shared" si="46"/>
        <v>199</v>
      </c>
      <c r="S71" s="21">
        <f t="shared" ref="S71:S133" si="52">+IF(P71&lt;2501,0,IF((P71&gt;2501)*(P71&lt;3500),0,IF((P71&gt;3501)*(P71&lt;7500),0,IF((P71&gt;7501)*(P71&lt;10000),175,200))))</f>
        <v>200</v>
      </c>
      <c r="T71" s="13">
        <v>0</v>
      </c>
      <c r="U71" s="13">
        <f t="shared" si="34"/>
        <v>1018.3548387096773</v>
      </c>
      <c r="V71" s="13">
        <f t="shared" si="47"/>
        <v>10330.290322580644</v>
      </c>
      <c r="X71" s="13">
        <f t="shared" ref="X71:X134" si="53">V71-W71</f>
        <v>10330.290322580644</v>
      </c>
      <c r="Y71" s="12">
        <f t="shared" ref="Y71:Y134" si="54">(H71+I71)*13.15%</f>
        <v>678.70967741935488</v>
      </c>
      <c r="Z71" s="12">
        <f t="shared" si="48"/>
        <v>540</v>
      </c>
      <c r="AA71" s="1">
        <f t="shared" ref="AA71:AA134" si="55">T71*3</f>
        <v>0</v>
      </c>
      <c r="AB71" s="16">
        <f t="shared" si="39"/>
        <v>1218.7096774193549</v>
      </c>
      <c r="AC71" s="16">
        <f t="shared" si="49"/>
        <v>12567.354838709676</v>
      </c>
    </row>
    <row r="72" spans="1:29" x14ac:dyDescent="0.2">
      <c r="A72" s="10" t="s">
        <v>787</v>
      </c>
      <c r="B72" s="11">
        <f t="shared" ref="B72:B135" si="56">B71+1</f>
        <v>67</v>
      </c>
      <c r="C72" s="11" t="s">
        <v>457</v>
      </c>
      <c r="D72" s="11" t="s">
        <v>51</v>
      </c>
      <c r="E72" s="11" t="s">
        <v>658</v>
      </c>
      <c r="F72" s="22">
        <v>42896</v>
      </c>
      <c r="G72" s="11">
        <v>31</v>
      </c>
      <c r="H72" s="13">
        <f t="shared" si="43"/>
        <v>5000</v>
      </c>
      <c r="I72" s="13">
        <f t="shared" si="50"/>
        <v>0</v>
      </c>
      <c r="J72" s="13">
        <f t="shared" si="44"/>
        <v>250</v>
      </c>
      <c r="L72" s="13">
        <f t="shared" si="51"/>
        <v>800</v>
      </c>
      <c r="N72" s="13">
        <f t="shared" si="42"/>
        <v>4944</v>
      </c>
      <c r="P72" s="13">
        <f t="shared" si="41"/>
        <v>10994</v>
      </c>
      <c r="Q72" s="12">
        <f t="shared" si="45"/>
        <v>600</v>
      </c>
      <c r="R72" s="12">
        <f t="shared" si="46"/>
        <v>193</v>
      </c>
      <c r="S72" s="21">
        <f t="shared" si="52"/>
        <v>200</v>
      </c>
      <c r="T72" s="13">
        <v>0</v>
      </c>
      <c r="U72" s="13">
        <f t="shared" si="34"/>
        <v>993</v>
      </c>
      <c r="V72" s="13">
        <f t="shared" si="47"/>
        <v>10001</v>
      </c>
      <c r="X72" s="13">
        <f t="shared" si="53"/>
        <v>10001</v>
      </c>
      <c r="Y72" s="12">
        <f t="shared" si="54"/>
        <v>657.5</v>
      </c>
      <c r="Z72" s="12">
        <f t="shared" si="48"/>
        <v>523</v>
      </c>
      <c r="AA72" s="1">
        <f t="shared" si="55"/>
        <v>0</v>
      </c>
      <c r="AB72" s="16">
        <f t="shared" si="39"/>
        <v>1180.5</v>
      </c>
      <c r="AC72" s="16">
        <f t="shared" si="49"/>
        <v>12174.5</v>
      </c>
    </row>
    <row r="73" spans="1:29" x14ac:dyDescent="0.2">
      <c r="A73" s="10" t="s">
        <v>788</v>
      </c>
      <c r="B73" s="11">
        <f t="shared" si="56"/>
        <v>68</v>
      </c>
      <c r="C73" s="11" t="s">
        <v>458</v>
      </c>
      <c r="D73" s="11" t="s">
        <v>51</v>
      </c>
      <c r="E73" s="11" t="s">
        <v>658</v>
      </c>
      <c r="F73" s="22">
        <v>42896</v>
      </c>
      <c r="G73" s="11">
        <v>26</v>
      </c>
      <c r="H73" s="13">
        <f t="shared" si="43"/>
        <v>4193.5483870967737</v>
      </c>
      <c r="I73" s="13">
        <f t="shared" si="50"/>
        <v>0</v>
      </c>
      <c r="J73" s="13">
        <f t="shared" si="44"/>
        <v>209.67741935483869</v>
      </c>
      <c r="L73" s="13">
        <f t="shared" si="51"/>
        <v>670.96774193548379</v>
      </c>
      <c r="N73" s="13">
        <f t="shared" si="42"/>
        <v>4146.5806451612898</v>
      </c>
      <c r="P73" s="13">
        <f t="shared" si="41"/>
        <v>9220.7741935483864</v>
      </c>
      <c r="Q73" s="12">
        <f t="shared" si="45"/>
        <v>503.22580645161281</v>
      </c>
      <c r="R73" s="12">
        <f t="shared" si="46"/>
        <v>162</v>
      </c>
      <c r="S73" s="21">
        <f t="shared" si="52"/>
        <v>175</v>
      </c>
      <c r="T73" s="13">
        <v>0</v>
      </c>
      <c r="U73" s="13">
        <f t="shared" si="34"/>
        <v>840.22580645161281</v>
      </c>
      <c r="V73" s="13">
        <f t="shared" si="47"/>
        <v>8380.5483870967728</v>
      </c>
      <c r="X73" s="13">
        <f t="shared" si="53"/>
        <v>8380.5483870967728</v>
      </c>
      <c r="Y73" s="12">
        <f t="shared" si="54"/>
        <v>551.45161290322574</v>
      </c>
      <c r="Z73" s="12">
        <f t="shared" si="48"/>
        <v>438</v>
      </c>
      <c r="AA73" s="1">
        <f t="shared" si="55"/>
        <v>0</v>
      </c>
      <c r="AB73" s="16">
        <f t="shared" si="39"/>
        <v>989.45161290322574</v>
      </c>
      <c r="AC73" s="16">
        <f t="shared" si="49"/>
        <v>10210.225806451612</v>
      </c>
    </row>
    <row r="74" spans="1:29" x14ac:dyDescent="0.2">
      <c r="A74" s="10" t="s">
        <v>789</v>
      </c>
      <c r="B74" s="11">
        <f t="shared" si="56"/>
        <v>69</v>
      </c>
      <c r="C74" s="11" t="s">
        <v>459</v>
      </c>
      <c r="D74" s="11" t="s">
        <v>51</v>
      </c>
      <c r="E74" s="11" t="s">
        <v>658</v>
      </c>
      <c r="F74" s="22">
        <v>42896</v>
      </c>
      <c r="G74" s="11">
        <v>35</v>
      </c>
      <c r="H74" s="13">
        <f t="shared" si="43"/>
        <v>5645.1612903225805</v>
      </c>
      <c r="I74" s="13">
        <f t="shared" si="50"/>
        <v>0</v>
      </c>
      <c r="J74" s="13">
        <f t="shared" si="44"/>
        <v>282.25806451612902</v>
      </c>
      <c r="L74" s="13">
        <f t="shared" si="51"/>
        <v>903.22580645161281</v>
      </c>
      <c r="N74" s="13">
        <f t="shared" si="42"/>
        <v>5581.9354838709669</v>
      </c>
      <c r="O74" s="13">
        <v>1467</v>
      </c>
      <c r="P74" s="13">
        <f t="shared" si="41"/>
        <v>13879.580645161288</v>
      </c>
      <c r="Q74" s="12">
        <f t="shared" si="45"/>
        <v>677.41935483870964</v>
      </c>
      <c r="R74" s="12">
        <f t="shared" si="46"/>
        <v>243</v>
      </c>
      <c r="S74" s="21">
        <f t="shared" si="52"/>
        <v>200</v>
      </c>
      <c r="T74" s="13">
        <v>0</v>
      </c>
      <c r="U74" s="13">
        <f t="shared" si="34"/>
        <v>1120.4193548387098</v>
      </c>
      <c r="V74" s="13">
        <f t="shared" si="47"/>
        <v>12759.161290322578</v>
      </c>
      <c r="X74" s="13">
        <f t="shared" si="53"/>
        <v>12759.161290322578</v>
      </c>
      <c r="Y74" s="12">
        <f t="shared" si="54"/>
        <v>742.33870967741939</v>
      </c>
      <c r="Z74" s="12">
        <f t="shared" si="48"/>
        <v>660</v>
      </c>
      <c r="AA74" s="1">
        <f t="shared" si="55"/>
        <v>0</v>
      </c>
      <c r="AB74" s="16">
        <f t="shared" si="39"/>
        <v>1402.3387096774195</v>
      </c>
      <c r="AC74" s="16">
        <f t="shared" si="49"/>
        <v>15281.919354838708</v>
      </c>
    </row>
    <row r="75" spans="1:29" x14ac:dyDescent="0.2">
      <c r="A75" s="10" t="s">
        <v>790</v>
      </c>
      <c r="B75" s="11">
        <f t="shared" si="56"/>
        <v>70</v>
      </c>
      <c r="C75" s="32" t="s">
        <v>460</v>
      </c>
      <c r="D75" s="11" t="s">
        <v>51</v>
      </c>
      <c r="E75" s="11" t="s">
        <v>658</v>
      </c>
      <c r="F75" s="22">
        <v>42898</v>
      </c>
      <c r="G75" s="11">
        <v>23</v>
      </c>
      <c r="H75" s="13">
        <f t="shared" si="43"/>
        <v>3709.6774193548385</v>
      </c>
      <c r="I75" s="13">
        <f t="shared" si="50"/>
        <v>0</v>
      </c>
      <c r="J75" s="13">
        <f t="shared" si="44"/>
        <v>185.48387096774195</v>
      </c>
      <c r="L75" s="13">
        <f t="shared" si="51"/>
        <v>593.54838709677415</v>
      </c>
      <c r="N75" s="13">
        <f t="shared" si="42"/>
        <v>3668.1290322580644</v>
      </c>
      <c r="P75" s="13">
        <f t="shared" si="41"/>
        <v>8156.8387096774186</v>
      </c>
      <c r="Q75" s="12">
        <f t="shared" si="45"/>
        <v>445.16129032258061</v>
      </c>
      <c r="R75" s="12">
        <f t="shared" si="46"/>
        <v>143</v>
      </c>
      <c r="S75" s="21">
        <f t="shared" si="52"/>
        <v>175</v>
      </c>
      <c r="T75" s="13">
        <v>0</v>
      </c>
      <c r="U75" s="13">
        <f t="shared" si="34"/>
        <v>763.16129032258061</v>
      </c>
      <c r="V75" s="13">
        <f t="shared" si="47"/>
        <v>7393.6774193548381</v>
      </c>
      <c r="X75" s="13">
        <f t="shared" si="53"/>
        <v>7393.6774193548381</v>
      </c>
      <c r="Y75" s="12">
        <f t="shared" si="54"/>
        <v>487.82258064516128</v>
      </c>
      <c r="Z75" s="12">
        <f t="shared" si="48"/>
        <v>388</v>
      </c>
      <c r="AA75" s="1">
        <f t="shared" si="55"/>
        <v>0</v>
      </c>
      <c r="AB75" s="16">
        <f t="shared" si="39"/>
        <v>875.82258064516122</v>
      </c>
      <c r="AC75" s="16">
        <f t="shared" si="49"/>
        <v>9032.6612903225796</v>
      </c>
    </row>
    <row r="76" spans="1:29" x14ac:dyDescent="0.2">
      <c r="A76" s="10" t="s">
        <v>791</v>
      </c>
      <c r="B76" s="11">
        <f t="shared" si="56"/>
        <v>71</v>
      </c>
      <c r="C76" s="11" t="s">
        <v>461</v>
      </c>
      <c r="D76" s="11" t="s">
        <v>51</v>
      </c>
      <c r="E76" s="11" t="s">
        <v>658</v>
      </c>
      <c r="F76" s="22">
        <v>42900</v>
      </c>
      <c r="G76" s="11">
        <v>37</v>
      </c>
      <c r="H76" s="13">
        <f t="shared" si="43"/>
        <v>5967.7419354838703</v>
      </c>
      <c r="I76" s="13">
        <f t="shared" si="50"/>
        <v>0</v>
      </c>
      <c r="J76" s="13">
        <f t="shared" si="44"/>
        <v>298.38709677419354</v>
      </c>
      <c r="L76" s="13">
        <f t="shared" si="51"/>
        <v>954.83870967741927</v>
      </c>
      <c r="N76" s="13">
        <f t="shared" si="42"/>
        <v>5900.9032258064508</v>
      </c>
      <c r="O76" s="13">
        <v>1000</v>
      </c>
      <c r="P76" s="13">
        <f t="shared" si="41"/>
        <v>14121.870967741934</v>
      </c>
      <c r="Q76" s="12">
        <f t="shared" si="45"/>
        <v>716.1290322580644</v>
      </c>
      <c r="R76" s="12">
        <f t="shared" si="46"/>
        <v>248</v>
      </c>
      <c r="S76" s="21">
        <f t="shared" si="52"/>
        <v>200</v>
      </c>
      <c r="T76" s="13">
        <v>0</v>
      </c>
      <c r="U76" s="13">
        <f t="shared" si="34"/>
        <v>1164.1290322580644</v>
      </c>
      <c r="V76" s="13">
        <f t="shared" si="47"/>
        <v>12957.741935483869</v>
      </c>
      <c r="X76" s="13">
        <f t="shared" si="53"/>
        <v>12957.741935483869</v>
      </c>
      <c r="Y76" s="12">
        <f t="shared" si="54"/>
        <v>784.75806451612902</v>
      </c>
      <c r="Z76" s="12">
        <f t="shared" si="48"/>
        <v>671</v>
      </c>
      <c r="AA76" s="1">
        <f t="shared" si="55"/>
        <v>0</v>
      </c>
      <c r="AB76" s="16">
        <f t="shared" si="39"/>
        <v>1455.758064516129</v>
      </c>
      <c r="AC76" s="16">
        <f t="shared" si="49"/>
        <v>15577.629032258063</v>
      </c>
    </row>
    <row r="77" spans="1:29" x14ac:dyDescent="0.2">
      <c r="A77" s="10" t="s">
        <v>792</v>
      </c>
      <c r="B77" s="11">
        <f t="shared" si="56"/>
        <v>72</v>
      </c>
      <c r="C77" s="11" t="s">
        <v>462</v>
      </c>
      <c r="D77" s="11" t="s">
        <v>51</v>
      </c>
      <c r="E77" s="11" t="s">
        <v>658</v>
      </c>
      <c r="F77" s="22">
        <v>42903</v>
      </c>
      <c r="G77" s="11">
        <v>26</v>
      </c>
      <c r="H77" s="13">
        <f t="shared" si="43"/>
        <v>4193.5483870967737</v>
      </c>
      <c r="I77" s="13">
        <f t="shared" si="50"/>
        <v>0</v>
      </c>
      <c r="J77" s="13">
        <f t="shared" si="44"/>
        <v>209.67741935483869</v>
      </c>
      <c r="L77" s="13">
        <f t="shared" si="51"/>
        <v>670.96774193548379</v>
      </c>
      <c r="N77" s="13">
        <f t="shared" si="42"/>
        <v>4146.5806451612898</v>
      </c>
      <c r="P77" s="13">
        <f t="shared" si="41"/>
        <v>9220.7741935483864</v>
      </c>
      <c r="Q77" s="12">
        <f t="shared" si="45"/>
        <v>503.22580645161281</v>
      </c>
      <c r="R77" s="12">
        <f t="shared" si="46"/>
        <v>162</v>
      </c>
      <c r="S77" s="21">
        <f t="shared" si="52"/>
        <v>175</v>
      </c>
      <c r="T77" s="13">
        <v>0</v>
      </c>
      <c r="U77" s="13">
        <f t="shared" si="34"/>
        <v>840.22580645161281</v>
      </c>
      <c r="V77" s="13">
        <f t="shared" si="47"/>
        <v>8380.5483870967728</v>
      </c>
      <c r="X77" s="13">
        <f t="shared" si="53"/>
        <v>8380.5483870967728</v>
      </c>
      <c r="Y77" s="12">
        <f t="shared" si="54"/>
        <v>551.45161290322574</v>
      </c>
      <c r="Z77" s="12">
        <f t="shared" si="48"/>
        <v>438</v>
      </c>
      <c r="AA77" s="1">
        <f t="shared" si="55"/>
        <v>0</v>
      </c>
      <c r="AB77" s="16">
        <f t="shared" si="39"/>
        <v>989.45161290322574</v>
      </c>
      <c r="AC77" s="16">
        <f t="shared" si="49"/>
        <v>10210.225806451612</v>
      </c>
    </row>
    <row r="78" spans="1:29" x14ac:dyDescent="0.2">
      <c r="A78" s="10" t="s">
        <v>793</v>
      </c>
      <c r="B78" s="11">
        <f t="shared" si="56"/>
        <v>73</v>
      </c>
      <c r="C78" s="11" t="s">
        <v>656</v>
      </c>
      <c r="D78" s="11" t="s">
        <v>51</v>
      </c>
      <c r="E78" s="11" t="s">
        <v>660</v>
      </c>
      <c r="F78" s="22">
        <v>42904</v>
      </c>
      <c r="G78" s="11">
        <v>31</v>
      </c>
      <c r="H78" s="13">
        <f t="shared" si="43"/>
        <v>5000</v>
      </c>
      <c r="I78" s="13">
        <f t="shared" si="50"/>
        <v>0</v>
      </c>
      <c r="J78" s="13">
        <f t="shared" si="44"/>
        <v>250</v>
      </c>
      <c r="L78" s="13">
        <f t="shared" si="51"/>
        <v>800</v>
      </c>
      <c r="N78" s="13">
        <f t="shared" si="42"/>
        <v>4944</v>
      </c>
      <c r="P78" s="13">
        <f t="shared" si="41"/>
        <v>10994</v>
      </c>
      <c r="Q78" s="12">
        <f t="shared" si="45"/>
        <v>600</v>
      </c>
      <c r="R78" s="12">
        <f t="shared" si="46"/>
        <v>193</v>
      </c>
      <c r="S78" s="21">
        <f t="shared" si="52"/>
        <v>200</v>
      </c>
      <c r="T78" s="13">
        <v>0</v>
      </c>
      <c r="U78" s="13">
        <f t="shared" si="34"/>
        <v>993</v>
      </c>
      <c r="V78" s="13">
        <f t="shared" si="47"/>
        <v>10001</v>
      </c>
      <c r="X78" s="13">
        <f t="shared" si="53"/>
        <v>10001</v>
      </c>
      <c r="Y78" s="12">
        <f t="shared" si="54"/>
        <v>657.5</v>
      </c>
      <c r="Z78" s="12">
        <f t="shared" si="48"/>
        <v>523</v>
      </c>
      <c r="AA78" s="1">
        <f t="shared" si="55"/>
        <v>0</v>
      </c>
      <c r="AB78" s="16">
        <f t="shared" si="39"/>
        <v>1180.5</v>
      </c>
      <c r="AC78" s="16">
        <f t="shared" si="49"/>
        <v>12174.5</v>
      </c>
    </row>
    <row r="79" spans="1:29" x14ac:dyDescent="0.2">
      <c r="A79" s="10" t="s">
        <v>794</v>
      </c>
      <c r="B79" s="11">
        <f t="shared" si="56"/>
        <v>74</v>
      </c>
      <c r="C79" s="52" t="s">
        <v>463</v>
      </c>
      <c r="D79" s="11" t="s">
        <v>51</v>
      </c>
      <c r="E79" s="11" t="s">
        <v>236</v>
      </c>
      <c r="F79" s="22">
        <v>42907</v>
      </c>
      <c r="G79" s="11">
        <v>6</v>
      </c>
      <c r="H79" s="13">
        <f t="shared" si="43"/>
        <v>967.74193548387098</v>
      </c>
      <c r="I79" s="13">
        <f t="shared" si="50"/>
        <v>0</v>
      </c>
      <c r="J79" s="13">
        <f t="shared" si="44"/>
        <v>48.387096774193552</v>
      </c>
      <c r="L79" s="13">
        <f t="shared" si="51"/>
        <v>154.83870967741933</v>
      </c>
      <c r="N79" s="13">
        <f t="shared" si="40"/>
        <v>570.9677419354839</v>
      </c>
      <c r="P79" s="13">
        <f t="shared" si="41"/>
        <v>1741.9354838709678</v>
      </c>
      <c r="Q79" s="12">
        <f t="shared" si="45"/>
        <v>116.12903225806451</v>
      </c>
      <c r="R79" s="12">
        <f t="shared" si="46"/>
        <v>31</v>
      </c>
      <c r="S79" s="21">
        <f t="shared" si="52"/>
        <v>0</v>
      </c>
      <c r="T79" s="13">
        <v>0</v>
      </c>
      <c r="U79" s="13">
        <f t="shared" si="34"/>
        <v>147.12903225806451</v>
      </c>
      <c r="V79" s="13">
        <f t="shared" si="47"/>
        <v>1594.8064516129034</v>
      </c>
      <c r="X79" s="13">
        <f t="shared" si="53"/>
        <v>1594.8064516129034</v>
      </c>
      <c r="Y79" s="12">
        <f t="shared" si="54"/>
        <v>127.25806451612904</v>
      </c>
      <c r="Z79" s="12">
        <f t="shared" si="48"/>
        <v>83</v>
      </c>
      <c r="AA79" s="1">
        <f t="shared" si="55"/>
        <v>0</v>
      </c>
      <c r="AB79" s="16">
        <f t="shared" si="39"/>
        <v>210.25806451612902</v>
      </c>
      <c r="AC79" s="16">
        <f t="shared" si="49"/>
        <v>1952.1935483870968</v>
      </c>
    </row>
    <row r="80" spans="1:29" x14ac:dyDescent="0.2">
      <c r="A80" s="10" t="s">
        <v>795</v>
      </c>
      <c r="B80" s="11">
        <f t="shared" si="56"/>
        <v>75</v>
      </c>
      <c r="C80" s="11" t="s">
        <v>464</v>
      </c>
      <c r="D80" s="11" t="s">
        <v>51</v>
      </c>
      <c r="E80" s="11" t="s">
        <v>658</v>
      </c>
      <c r="F80" s="22">
        <v>42912</v>
      </c>
      <c r="G80" s="11">
        <v>29</v>
      </c>
      <c r="H80" s="13">
        <f t="shared" si="43"/>
        <v>4677.4193548387093</v>
      </c>
      <c r="I80" s="13">
        <f t="shared" si="50"/>
        <v>0</v>
      </c>
      <c r="J80" s="13">
        <f t="shared" si="44"/>
        <v>233.87096774193549</v>
      </c>
      <c r="L80" s="13">
        <f t="shared" si="51"/>
        <v>748.38709677419354</v>
      </c>
      <c r="N80" s="13">
        <f t="shared" ref="N80:N82" si="57">((1950+1000+611+1383)/G$3)*G80</f>
        <v>4625.0322580645161</v>
      </c>
      <c r="P80" s="13">
        <f t="shared" si="41"/>
        <v>10284.709677419354</v>
      </c>
      <c r="Q80" s="12">
        <f t="shared" si="45"/>
        <v>561.29032258064512</v>
      </c>
      <c r="R80" s="12">
        <f t="shared" si="46"/>
        <v>180</v>
      </c>
      <c r="S80" s="21">
        <f t="shared" si="52"/>
        <v>200</v>
      </c>
      <c r="T80" s="13">
        <v>0</v>
      </c>
      <c r="U80" s="13">
        <f t="shared" si="34"/>
        <v>941.29032258064512</v>
      </c>
      <c r="V80" s="13">
        <f t="shared" si="47"/>
        <v>9343.4193548387084</v>
      </c>
      <c r="X80" s="13">
        <f t="shared" si="53"/>
        <v>9343.4193548387084</v>
      </c>
      <c r="Y80" s="12">
        <f t="shared" si="54"/>
        <v>615.08064516129025</v>
      </c>
      <c r="Z80" s="12">
        <f t="shared" si="48"/>
        <v>489</v>
      </c>
      <c r="AA80" s="1">
        <f t="shared" si="55"/>
        <v>0</v>
      </c>
      <c r="AB80" s="16">
        <f t="shared" si="39"/>
        <v>1104.0806451612902</v>
      </c>
      <c r="AC80" s="16">
        <f t="shared" si="49"/>
        <v>11388.790322580644</v>
      </c>
    </row>
    <row r="81" spans="1:29" x14ac:dyDescent="0.2">
      <c r="A81" s="10" t="s">
        <v>796</v>
      </c>
      <c r="B81" s="11">
        <f t="shared" si="56"/>
        <v>76</v>
      </c>
      <c r="C81" s="11" t="s">
        <v>465</v>
      </c>
      <c r="D81" s="11" t="s">
        <v>51</v>
      </c>
      <c r="E81" s="11" t="s">
        <v>658</v>
      </c>
      <c r="F81" s="22">
        <v>42912</v>
      </c>
      <c r="G81" s="11">
        <v>33</v>
      </c>
      <c r="H81" s="13">
        <f t="shared" si="43"/>
        <v>5322.5806451612898</v>
      </c>
      <c r="I81" s="13">
        <f t="shared" si="50"/>
        <v>0</v>
      </c>
      <c r="J81" s="13">
        <f t="shared" si="44"/>
        <v>266.12903225806451</v>
      </c>
      <c r="L81" s="13">
        <f t="shared" si="51"/>
        <v>851.61290322580635</v>
      </c>
      <c r="N81" s="13">
        <f t="shared" si="57"/>
        <v>5262.967741935483</v>
      </c>
      <c r="P81" s="13">
        <f t="shared" si="41"/>
        <v>11703.290322580644</v>
      </c>
      <c r="Q81" s="12">
        <f t="shared" si="45"/>
        <v>638.70967741935476</v>
      </c>
      <c r="R81" s="12">
        <f t="shared" si="46"/>
        <v>205</v>
      </c>
      <c r="S81" s="21">
        <f t="shared" si="52"/>
        <v>200</v>
      </c>
      <c r="T81" s="13">
        <v>0</v>
      </c>
      <c r="U81" s="13">
        <f t="shared" si="34"/>
        <v>1043.7096774193546</v>
      </c>
      <c r="V81" s="13">
        <f t="shared" si="47"/>
        <v>10659.58064516129</v>
      </c>
      <c r="X81" s="13">
        <f t="shared" si="53"/>
        <v>10659.58064516129</v>
      </c>
      <c r="Y81" s="12">
        <f t="shared" si="54"/>
        <v>699.91935483870964</v>
      </c>
      <c r="Z81" s="12">
        <f t="shared" si="48"/>
        <v>556</v>
      </c>
      <c r="AA81" s="1">
        <f t="shared" si="55"/>
        <v>0</v>
      </c>
      <c r="AB81" s="16">
        <f t="shared" si="39"/>
        <v>1255.9193548387098</v>
      </c>
      <c r="AC81" s="16">
        <f t="shared" si="49"/>
        <v>12959.209677419354</v>
      </c>
    </row>
    <row r="82" spans="1:29" x14ac:dyDescent="0.2">
      <c r="A82" s="10" t="s">
        <v>797</v>
      </c>
      <c r="B82" s="11">
        <f t="shared" si="56"/>
        <v>77</v>
      </c>
      <c r="C82" s="32" t="s">
        <v>437</v>
      </c>
      <c r="D82" s="11" t="s">
        <v>51</v>
      </c>
      <c r="E82" s="11" t="s">
        <v>658</v>
      </c>
      <c r="F82" s="22">
        <v>42914</v>
      </c>
      <c r="G82" s="11">
        <v>21</v>
      </c>
      <c r="H82" s="13">
        <f t="shared" si="43"/>
        <v>3387.0967741935483</v>
      </c>
      <c r="I82" s="13">
        <f t="shared" si="50"/>
        <v>0</v>
      </c>
      <c r="J82" s="13">
        <f t="shared" si="44"/>
        <v>169.35483870967744</v>
      </c>
      <c r="L82" s="13">
        <f t="shared" si="51"/>
        <v>541.93548387096769</v>
      </c>
      <c r="N82" s="13">
        <f t="shared" si="57"/>
        <v>3349.1612903225805</v>
      </c>
      <c r="O82" s="13">
        <v>274</v>
      </c>
      <c r="P82" s="13">
        <f t="shared" si="41"/>
        <v>7721.5483870967737</v>
      </c>
      <c r="Q82" s="12">
        <f t="shared" si="45"/>
        <v>406.45161290322579</v>
      </c>
      <c r="R82" s="12">
        <f t="shared" si="46"/>
        <v>136</v>
      </c>
      <c r="S82" s="21">
        <f t="shared" si="52"/>
        <v>175</v>
      </c>
      <c r="T82" s="13">
        <v>0</v>
      </c>
      <c r="U82" s="13">
        <f t="shared" si="34"/>
        <v>717.45161290322585</v>
      </c>
      <c r="V82" s="13">
        <f t="shared" si="47"/>
        <v>7004.0967741935474</v>
      </c>
      <c r="X82" s="13">
        <f t="shared" si="53"/>
        <v>7004.0967741935474</v>
      </c>
      <c r="Y82" s="12">
        <f t="shared" si="54"/>
        <v>445.40322580645164</v>
      </c>
      <c r="Z82" s="12">
        <f t="shared" si="48"/>
        <v>367</v>
      </c>
      <c r="AA82" s="1">
        <f t="shared" si="55"/>
        <v>0</v>
      </c>
      <c r="AB82" s="16">
        <f t="shared" si="39"/>
        <v>812.4032258064517</v>
      </c>
      <c r="AC82" s="16">
        <f t="shared" si="49"/>
        <v>8533.9516129032254</v>
      </c>
    </row>
    <row r="83" spans="1:29" x14ac:dyDescent="0.2">
      <c r="A83" s="10" t="s">
        <v>798</v>
      </c>
      <c r="B83" s="11">
        <f t="shared" si="56"/>
        <v>78</v>
      </c>
      <c r="C83" s="11" t="s">
        <v>438</v>
      </c>
      <c r="D83" s="11" t="s">
        <v>51</v>
      </c>
      <c r="E83" s="11" t="s">
        <v>662</v>
      </c>
      <c r="F83" s="22">
        <v>42915</v>
      </c>
      <c r="G83" s="11">
        <v>32</v>
      </c>
      <c r="H83" s="13">
        <f t="shared" si="43"/>
        <v>5161.2903225806449</v>
      </c>
      <c r="I83" s="13">
        <f t="shared" si="50"/>
        <v>0</v>
      </c>
      <c r="J83" s="13">
        <f t="shared" si="44"/>
        <v>258.06451612903226</v>
      </c>
      <c r="L83" s="13">
        <f t="shared" si="51"/>
        <v>825.80645161290317</v>
      </c>
      <c r="N83" s="13">
        <f>((2950+6000)/G$3)*G83</f>
        <v>9238.7096774193542</v>
      </c>
      <c r="P83" s="13">
        <f t="shared" si="41"/>
        <v>15483.870967741936</v>
      </c>
      <c r="Q83" s="12">
        <f t="shared" si="45"/>
        <v>619.35483870967732</v>
      </c>
      <c r="R83" s="12">
        <f t="shared" si="46"/>
        <v>271</v>
      </c>
      <c r="S83" s="21">
        <f t="shared" si="52"/>
        <v>200</v>
      </c>
      <c r="T83" s="13">
        <v>0</v>
      </c>
      <c r="U83" s="13">
        <f t="shared" si="34"/>
        <v>1090.3548387096773</v>
      </c>
      <c r="V83" s="13">
        <f t="shared" si="47"/>
        <v>14393.516129032258</v>
      </c>
      <c r="X83" s="13">
        <f t="shared" si="53"/>
        <v>14393.516129032258</v>
      </c>
      <c r="Y83" s="12">
        <f t="shared" si="54"/>
        <v>678.70967741935488</v>
      </c>
      <c r="Z83" s="12">
        <f t="shared" si="48"/>
        <v>736</v>
      </c>
      <c r="AA83" s="1">
        <f t="shared" si="55"/>
        <v>0</v>
      </c>
      <c r="AB83" s="16">
        <f t="shared" si="39"/>
        <v>1414.7096774193549</v>
      </c>
      <c r="AC83" s="16">
        <f t="shared" si="49"/>
        <v>16898.580645161292</v>
      </c>
    </row>
    <row r="84" spans="1:29" x14ac:dyDescent="0.2">
      <c r="A84" s="10" t="s">
        <v>799</v>
      </c>
      <c r="B84" s="11">
        <f t="shared" si="56"/>
        <v>79</v>
      </c>
      <c r="C84" s="11" t="s">
        <v>466</v>
      </c>
      <c r="D84" s="11" t="s">
        <v>51</v>
      </c>
      <c r="E84" s="11" t="s">
        <v>581</v>
      </c>
      <c r="F84" s="22">
        <v>42907</v>
      </c>
      <c r="G84" s="11">
        <v>32</v>
      </c>
      <c r="H84" s="13">
        <f t="shared" si="43"/>
        <v>5161.2903225806449</v>
      </c>
      <c r="I84" s="13">
        <f t="shared" si="50"/>
        <v>0</v>
      </c>
      <c r="J84" s="13">
        <f t="shared" si="44"/>
        <v>258.06451612903226</v>
      </c>
      <c r="L84" s="13">
        <f t="shared" si="51"/>
        <v>825.80645161290317</v>
      </c>
      <c r="N84" s="13">
        <f>((2950+3000)/G$3)*G84</f>
        <v>6141.9354838709678</v>
      </c>
      <c r="P84" s="13">
        <f t="shared" si="41"/>
        <v>12387.096774193549</v>
      </c>
      <c r="Q84" s="12">
        <f t="shared" si="45"/>
        <v>619.35483870967732</v>
      </c>
      <c r="R84" s="12">
        <f t="shared" si="46"/>
        <v>217</v>
      </c>
      <c r="S84" s="21">
        <f t="shared" si="52"/>
        <v>200</v>
      </c>
      <c r="T84" s="13">
        <v>0</v>
      </c>
      <c r="U84" s="13">
        <f t="shared" si="34"/>
        <v>1036.3548387096773</v>
      </c>
      <c r="V84" s="13">
        <f t="shared" si="47"/>
        <v>11350.741935483871</v>
      </c>
      <c r="X84" s="13">
        <f t="shared" si="53"/>
        <v>11350.741935483871</v>
      </c>
      <c r="Y84" s="12">
        <f t="shared" si="54"/>
        <v>678.70967741935488</v>
      </c>
      <c r="Z84" s="12">
        <f t="shared" si="48"/>
        <v>589</v>
      </c>
      <c r="AA84" s="1">
        <f t="shared" si="55"/>
        <v>0</v>
      </c>
      <c r="AB84" s="16">
        <f t="shared" si="39"/>
        <v>1267.7096774193549</v>
      </c>
      <c r="AC84" s="16">
        <f t="shared" si="49"/>
        <v>13654.806451612903</v>
      </c>
    </row>
    <row r="85" spans="1:29" x14ac:dyDescent="0.2">
      <c r="A85" s="10" t="s">
        <v>840</v>
      </c>
      <c r="B85" s="11">
        <f t="shared" si="56"/>
        <v>80</v>
      </c>
      <c r="C85" s="11" t="s">
        <v>670</v>
      </c>
      <c r="D85" s="11" t="s">
        <v>51</v>
      </c>
      <c r="E85" s="11" t="s">
        <v>658</v>
      </c>
      <c r="F85" s="22">
        <v>42917</v>
      </c>
      <c r="G85" s="11">
        <v>31</v>
      </c>
      <c r="H85" s="13">
        <f t="shared" si="43"/>
        <v>5000</v>
      </c>
      <c r="I85" s="13">
        <f t="shared" si="50"/>
        <v>0</v>
      </c>
      <c r="J85" s="13">
        <f t="shared" si="44"/>
        <v>250</v>
      </c>
      <c r="L85" s="13">
        <f t="shared" si="51"/>
        <v>800</v>
      </c>
      <c r="N85" s="13">
        <f t="shared" ref="N85:N98" si="58">((1950+1000+611+1383)/G$3)*G85</f>
        <v>4944</v>
      </c>
      <c r="P85" s="13">
        <f t="shared" ref="P85:P99" si="59">SUM(H85:O85)</f>
        <v>10994</v>
      </c>
      <c r="Q85" s="12">
        <f t="shared" si="45"/>
        <v>600</v>
      </c>
      <c r="R85" s="12">
        <f t="shared" si="46"/>
        <v>193</v>
      </c>
      <c r="S85" s="21">
        <f t="shared" si="52"/>
        <v>200</v>
      </c>
      <c r="T85" s="13">
        <v>0</v>
      </c>
      <c r="U85" s="13">
        <f t="shared" si="34"/>
        <v>993</v>
      </c>
      <c r="V85" s="13">
        <f t="shared" si="47"/>
        <v>10001</v>
      </c>
      <c r="X85" s="13">
        <f t="shared" si="53"/>
        <v>10001</v>
      </c>
      <c r="Y85" s="12">
        <f t="shared" si="54"/>
        <v>657.5</v>
      </c>
      <c r="Z85" s="12">
        <f t="shared" si="48"/>
        <v>523</v>
      </c>
      <c r="AA85" s="1">
        <f t="shared" si="55"/>
        <v>0</v>
      </c>
      <c r="AB85" s="16">
        <f t="shared" ref="AB85:AB99" si="60">SUM(Y85:AA85)</f>
        <v>1180.5</v>
      </c>
      <c r="AC85" s="16">
        <f t="shared" si="49"/>
        <v>12174.5</v>
      </c>
    </row>
    <row r="86" spans="1:29" x14ac:dyDescent="0.2">
      <c r="A86" s="10" t="s">
        <v>841</v>
      </c>
      <c r="B86" s="11">
        <f t="shared" si="56"/>
        <v>81</v>
      </c>
      <c r="C86" s="11" t="s">
        <v>671</v>
      </c>
      <c r="D86" s="11" t="s">
        <v>51</v>
      </c>
      <c r="E86" s="11" t="s">
        <v>658</v>
      </c>
      <c r="F86" s="22">
        <v>42917</v>
      </c>
      <c r="G86" s="11">
        <v>36</v>
      </c>
      <c r="H86" s="13">
        <f t="shared" si="43"/>
        <v>5806.4516129032254</v>
      </c>
      <c r="I86" s="13">
        <f t="shared" si="50"/>
        <v>0</v>
      </c>
      <c r="J86" s="13">
        <f t="shared" si="44"/>
        <v>290.32258064516128</v>
      </c>
      <c r="L86" s="13">
        <f t="shared" si="51"/>
        <v>929.0322580645161</v>
      </c>
      <c r="N86" s="13">
        <f t="shared" si="58"/>
        <v>5741.4193548387093</v>
      </c>
      <c r="O86" s="13">
        <v>1000</v>
      </c>
      <c r="P86" s="13">
        <f t="shared" si="59"/>
        <v>13767.225806451612</v>
      </c>
      <c r="Q86" s="12">
        <f t="shared" si="45"/>
        <v>696.77419354838707</v>
      </c>
      <c r="R86" s="12">
        <f t="shared" si="46"/>
        <v>241</v>
      </c>
      <c r="S86" s="21">
        <f t="shared" si="52"/>
        <v>200</v>
      </c>
      <c r="T86" s="13">
        <v>0</v>
      </c>
      <c r="U86" s="13">
        <f t="shared" si="34"/>
        <v>1137.7741935483871</v>
      </c>
      <c r="V86" s="13">
        <f t="shared" si="47"/>
        <v>12629.451612903225</v>
      </c>
      <c r="X86" s="13">
        <f t="shared" si="53"/>
        <v>12629.451612903225</v>
      </c>
      <c r="Y86" s="12">
        <f t="shared" si="54"/>
        <v>763.54838709677415</v>
      </c>
      <c r="Z86" s="12">
        <f t="shared" si="48"/>
        <v>654</v>
      </c>
      <c r="AA86" s="1">
        <f t="shared" si="55"/>
        <v>0</v>
      </c>
      <c r="AB86" s="16">
        <f t="shared" si="60"/>
        <v>1417.5483870967741</v>
      </c>
      <c r="AC86" s="16">
        <f t="shared" si="49"/>
        <v>15184.774193548386</v>
      </c>
    </row>
    <row r="87" spans="1:29" x14ac:dyDescent="0.2">
      <c r="A87" s="10" t="s">
        <v>842</v>
      </c>
      <c r="B87" s="11">
        <f t="shared" si="56"/>
        <v>82</v>
      </c>
      <c r="C87" s="11" t="s">
        <v>672</v>
      </c>
      <c r="D87" s="11" t="s">
        <v>51</v>
      </c>
      <c r="E87" s="19" t="s">
        <v>581</v>
      </c>
      <c r="F87" s="22">
        <v>42917</v>
      </c>
      <c r="G87" s="11">
        <v>36</v>
      </c>
      <c r="H87" s="13">
        <f t="shared" si="43"/>
        <v>5806.4516129032254</v>
      </c>
      <c r="I87" s="13">
        <f t="shared" si="50"/>
        <v>0</v>
      </c>
      <c r="J87" s="13">
        <f t="shared" si="44"/>
        <v>290.32258064516128</v>
      </c>
      <c r="L87" s="13">
        <f t="shared" si="51"/>
        <v>929.0322580645161</v>
      </c>
      <c r="N87" s="13">
        <f t="shared" si="58"/>
        <v>5741.4193548387093</v>
      </c>
      <c r="O87" s="13">
        <v>1467</v>
      </c>
      <c r="P87" s="13">
        <f t="shared" si="59"/>
        <v>14234.225806451612</v>
      </c>
      <c r="Q87" s="12">
        <f t="shared" si="45"/>
        <v>696.77419354838707</v>
      </c>
      <c r="R87" s="12">
        <f t="shared" si="46"/>
        <v>250</v>
      </c>
      <c r="S87" s="21">
        <f t="shared" si="52"/>
        <v>200</v>
      </c>
      <c r="T87" s="13">
        <v>0</v>
      </c>
      <c r="U87" s="13">
        <f t="shared" si="34"/>
        <v>1146.7741935483871</v>
      </c>
      <c r="V87" s="13">
        <f t="shared" si="47"/>
        <v>13087.451612903225</v>
      </c>
      <c r="X87" s="13">
        <f t="shared" si="53"/>
        <v>13087.451612903225</v>
      </c>
      <c r="Y87" s="12">
        <f t="shared" si="54"/>
        <v>763.54838709677415</v>
      </c>
      <c r="Z87" s="12">
        <f t="shared" si="48"/>
        <v>677</v>
      </c>
      <c r="AA87" s="1">
        <f t="shared" si="55"/>
        <v>0</v>
      </c>
      <c r="AB87" s="16">
        <f t="shared" si="60"/>
        <v>1440.5483870967741</v>
      </c>
      <c r="AC87" s="16">
        <f t="shared" si="49"/>
        <v>15674.774193548386</v>
      </c>
    </row>
    <row r="88" spans="1:29" x14ac:dyDescent="0.2">
      <c r="A88" s="10" t="s">
        <v>843</v>
      </c>
      <c r="B88" s="11">
        <f t="shared" si="56"/>
        <v>83</v>
      </c>
      <c r="C88" s="11" t="s">
        <v>673</v>
      </c>
      <c r="D88" s="11" t="s">
        <v>51</v>
      </c>
      <c r="E88" s="19" t="s">
        <v>701</v>
      </c>
      <c r="F88" s="22">
        <v>42929</v>
      </c>
      <c r="G88" s="11">
        <v>38</v>
      </c>
      <c r="H88" s="13">
        <f t="shared" si="43"/>
        <v>6129.0322580645161</v>
      </c>
      <c r="I88" s="13">
        <f t="shared" si="50"/>
        <v>0</v>
      </c>
      <c r="J88" s="13">
        <f t="shared" si="44"/>
        <v>306.45161290322579</v>
      </c>
      <c r="L88" s="13">
        <f t="shared" si="51"/>
        <v>980.64516129032256</v>
      </c>
      <c r="N88" s="13">
        <f>((1950+1000+0)/G$3)*G88</f>
        <v>3616.1290322580644</v>
      </c>
      <c r="O88" s="13">
        <v>1000</v>
      </c>
      <c r="P88" s="13">
        <f t="shared" si="59"/>
        <v>12032.258064516129</v>
      </c>
      <c r="Q88" s="12">
        <f t="shared" si="45"/>
        <v>735.48387096774195</v>
      </c>
      <c r="R88" s="12">
        <f t="shared" si="46"/>
        <v>211</v>
      </c>
      <c r="S88" s="21">
        <f t="shared" si="52"/>
        <v>200</v>
      </c>
      <c r="T88" s="13">
        <v>0</v>
      </c>
      <c r="U88" s="13">
        <f t="shared" si="34"/>
        <v>1146.483870967742</v>
      </c>
      <c r="V88" s="13">
        <f t="shared" si="47"/>
        <v>10885.774193548386</v>
      </c>
      <c r="X88" s="13">
        <f t="shared" si="53"/>
        <v>10885.774193548386</v>
      </c>
      <c r="Y88" s="12">
        <f t="shared" si="54"/>
        <v>805.9677419354839</v>
      </c>
      <c r="Z88" s="12">
        <f t="shared" si="48"/>
        <v>572</v>
      </c>
      <c r="AA88" s="1">
        <f t="shared" si="55"/>
        <v>0</v>
      </c>
      <c r="AB88" s="16">
        <f t="shared" si="60"/>
        <v>1377.9677419354839</v>
      </c>
      <c r="AC88" s="16">
        <f t="shared" si="49"/>
        <v>13410.225806451614</v>
      </c>
    </row>
    <row r="89" spans="1:29" x14ac:dyDescent="0.2">
      <c r="A89" s="10" t="s">
        <v>844</v>
      </c>
      <c r="B89" s="11">
        <f t="shared" si="56"/>
        <v>84</v>
      </c>
      <c r="C89" s="11" t="s">
        <v>674</v>
      </c>
      <c r="D89" s="11" t="s">
        <v>51</v>
      </c>
      <c r="E89" s="11" t="s">
        <v>658</v>
      </c>
      <c r="F89" s="22">
        <v>42930</v>
      </c>
      <c r="G89" s="11">
        <v>34</v>
      </c>
      <c r="H89" s="13">
        <f t="shared" si="43"/>
        <v>5483.8709677419356</v>
      </c>
      <c r="I89" s="13">
        <f t="shared" si="50"/>
        <v>0</v>
      </c>
      <c r="J89" s="13">
        <f t="shared" si="44"/>
        <v>274.19354838709677</v>
      </c>
      <c r="L89" s="13">
        <f t="shared" si="51"/>
        <v>877.41935483870964</v>
      </c>
      <c r="N89" s="13">
        <f t="shared" si="58"/>
        <v>5422.4516129032254</v>
      </c>
      <c r="O89" s="13">
        <v>1000</v>
      </c>
      <c r="P89" s="13">
        <f t="shared" si="59"/>
        <v>13057.935483870966</v>
      </c>
      <c r="Q89" s="12">
        <f t="shared" si="45"/>
        <v>658.0645161290322</v>
      </c>
      <c r="R89" s="12">
        <f t="shared" si="46"/>
        <v>229</v>
      </c>
      <c r="S89" s="21">
        <f t="shared" si="52"/>
        <v>200</v>
      </c>
      <c r="T89" s="13">
        <v>0</v>
      </c>
      <c r="U89" s="13">
        <f t="shared" si="34"/>
        <v>1087.0645161290322</v>
      </c>
      <c r="V89" s="13">
        <f t="shared" si="47"/>
        <v>11970.870967741934</v>
      </c>
      <c r="X89" s="13">
        <f t="shared" si="53"/>
        <v>11970.870967741934</v>
      </c>
      <c r="Y89" s="12">
        <f t="shared" si="54"/>
        <v>721.12903225806451</v>
      </c>
      <c r="Z89" s="12">
        <f t="shared" si="48"/>
        <v>621</v>
      </c>
      <c r="AA89" s="1">
        <f t="shared" si="55"/>
        <v>0</v>
      </c>
      <c r="AB89" s="16">
        <f t="shared" si="60"/>
        <v>1342.1290322580644</v>
      </c>
      <c r="AC89" s="16">
        <f t="shared" si="49"/>
        <v>14400.06451612903</v>
      </c>
    </row>
    <row r="90" spans="1:29" x14ac:dyDescent="0.2">
      <c r="A90" s="10" t="s">
        <v>845</v>
      </c>
      <c r="B90" s="11">
        <f t="shared" si="56"/>
        <v>85</v>
      </c>
      <c r="C90" s="11" t="s">
        <v>675</v>
      </c>
      <c r="D90" s="11" t="s">
        <v>51</v>
      </c>
      <c r="E90" s="19" t="s">
        <v>236</v>
      </c>
      <c r="F90" s="22">
        <v>42917</v>
      </c>
      <c r="G90" s="11">
        <v>35</v>
      </c>
      <c r="H90" s="13">
        <f t="shared" si="43"/>
        <v>5645.1612903225805</v>
      </c>
      <c r="I90" s="13">
        <f t="shared" si="50"/>
        <v>0</v>
      </c>
      <c r="J90" s="13">
        <f t="shared" si="44"/>
        <v>282.25806451612902</v>
      </c>
      <c r="L90" s="13">
        <f t="shared" si="51"/>
        <v>903.22580645161281</v>
      </c>
      <c r="N90" s="13">
        <f>((1950+1000+0)/G$3)*G90</f>
        <v>3330.6451612903224</v>
      </c>
      <c r="O90" s="13">
        <v>1000</v>
      </c>
      <c r="P90" s="13">
        <f t="shared" si="59"/>
        <v>11161.290322580644</v>
      </c>
      <c r="Q90" s="12">
        <f t="shared" si="45"/>
        <v>677.41935483870964</v>
      </c>
      <c r="R90" s="12">
        <f t="shared" si="46"/>
        <v>196</v>
      </c>
      <c r="S90" s="21">
        <f t="shared" si="52"/>
        <v>200</v>
      </c>
      <c r="T90" s="13">
        <v>0</v>
      </c>
      <c r="U90" s="13">
        <f t="shared" si="34"/>
        <v>1073.4193548387098</v>
      </c>
      <c r="V90" s="13">
        <f t="shared" si="47"/>
        <v>10087.870967741934</v>
      </c>
      <c r="X90" s="13">
        <f t="shared" si="53"/>
        <v>10087.870967741934</v>
      </c>
      <c r="Y90" s="12">
        <f t="shared" si="54"/>
        <v>742.33870967741939</v>
      </c>
      <c r="Z90" s="12">
        <f t="shared" si="48"/>
        <v>531</v>
      </c>
      <c r="AA90" s="1">
        <f t="shared" si="55"/>
        <v>0</v>
      </c>
      <c r="AB90" s="16">
        <f t="shared" si="60"/>
        <v>1273.3387096774195</v>
      </c>
      <c r="AC90" s="16">
        <f t="shared" si="49"/>
        <v>12434.629032258064</v>
      </c>
    </row>
    <row r="91" spans="1:29" x14ac:dyDescent="0.2">
      <c r="A91" s="10" t="s">
        <v>846</v>
      </c>
      <c r="B91" s="11">
        <f t="shared" si="56"/>
        <v>86</v>
      </c>
      <c r="C91" s="11" t="s">
        <v>676</v>
      </c>
      <c r="D91" s="11" t="s">
        <v>51</v>
      </c>
      <c r="E91" s="11" t="s">
        <v>658</v>
      </c>
      <c r="F91" s="22">
        <v>42933</v>
      </c>
      <c r="G91" s="11">
        <v>32</v>
      </c>
      <c r="H91" s="13">
        <f t="shared" si="43"/>
        <v>5161.2903225806449</v>
      </c>
      <c r="I91" s="13">
        <f t="shared" si="50"/>
        <v>0</v>
      </c>
      <c r="J91" s="13">
        <f t="shared" si="44"/>
        <v>258.06451612903226</v>
      </c>
      <c r="L91" s="13">
        <f t="shared" si="51"/>
        <v>825.80645161290317</v>
      </c>
      <c r="N91" s="13">
        <f t="shared" si="58"/>
        <v>5103.4838709677415</v>
      </c>
      <c r="P91" s="13">
        <f t="shared" si="59"/>
        <v>11348.645161290322</v>
      </c>
      <c r="Q91" s="12">
        <f t="shared" si="45"/>
        <v>619.35483870967732</v>
      </c>
      <c r="R91" s="12">
        <f t="shared" si="46"/>
        <v>199</v>
      </c>
      <c r="S91" s="21">
        <f t="shared" si="52"/>
        <v>200</v>
      </c>
      <c r="T91" s="13">
        <v>0</v>
      </c>
      <c r="U91" s="13">
        <f t="shared" si="34"/>
        <v>1018.3548387096773</v>
      </c>
      <c r="V91" s="13">
        <f t="shared" si="47"/>
        <v>10330.290322580644</v>
      </c>
      <c r="X91" s="13">
        <f t="shared" si="53"/>
        <v>10330.290322580644</v>
      </c>
      <c r="Y91" s="12">
        <f t="shared" si="54"/>
        <v>678.70967741935488</v>
      </c>
      <c r="Z91" s="12">
        <f t="shared" si="48"/>
        <v>540</v>
      </c>
      <c r="AA91" s="1">
        <f t="shared" si="55"/>
        <v>0</v>
      </c>
      <c r="AB91" s="16">
        <f t="shared" si="60"/>
        <v>1218.7096774193549</v>
      </c>
      <c r="AC91" s="16">
        <f t="shared" si="49"/>
        <v>12567.354838709676</v>
      </c>
    </row>
    <row r="92" spans="1:29" x14ac:dyDescent="0.2">
      <c r="A92" s="10" t="s">
        <v>847</v>
      </c>
      <c r="B92" s="11">
        <f t="shared" si="56"/>
        <v>87</v>
      </c>
      <c r="C92" s="11" t="s">
        <v>677</v>
      </c>
      <c r="D92" s="11" t="s">
        <v>51</v>
      </c>
      <c r="E92" s="11" t="s">
        <v>658</v>
      </c>
      <c r="F92" s="22">
        <v>42935</v>
      </c>
      <c r="G92" s="11">
        <v>33</v>
      </c>
      <c r="H92" s="13">
        <f t="shared" si="43"/>
        <v>5322.5806451612898</v>
      </c>
      <c r="I92" s="13">
        <f t="shared" si="50"/>
        <v>0</v>
      </c>
      <c r="J92" s="13">
        <f t="shared" si="44"/>
        <v>266.12903225806451</v>
      </c>
      <c r="L92" s="13">
        <f t="shared" si="51"/>
        <v>851.61290322580635</v>
      </c>
      <c r="N92" s="13">
        <f t="shared" si="58"/>
        <v>5262.967741935483</v>
      </c>
      <c r="P92" s="13">
        <f t="shared" si="59"/>
        <v>11703.290322580644</v>
      </c>
      <c r="Q92" s="12">
        <f t="shared" si="45"/>
        <v>638.70967741935476</v>
      </c>
      <c r="R92" s="12">
        <f t="shared" si="46"/>
        <v>205</v>
      </c>
      <c r="S92" s="21">
        <f t="shared" si="52"/>
        <v>200</v>
      </c>
      <c r="T92" s="13">
        <v>0</v>
      </c>
      <c r="U92" s="13">
        <f t="shared" si="34"/>
        <v>1043.7096774193546</v>
      </c>
      <c r="V92" s="13">
        <f t="shared" si="47"/>
        <v>10659.58064516129</v>
      </c>
      <c r="X92" s="13">
        <f t="shared" si="53"/>
        <v>10659.58064516129</v>
      </c>
      <c r="Y92" s="12">
        <f t="shared" si="54"/>
        <v>699.91935483870964</v>
      </c>
      <c r="Z92" s="12">
        <f t="shared" si="48"/>
        <v>556</v>
      </c>
      <c r="AA92" s="1">
        <f t="shared" si="55"/>
        <v>0</v>
      </c>
      <c r="AB92" s="16">
        <f t="shared" si="60"/>
        <v>1255.9193548387098</v>
      </c>
      <c r="AC92" s="16">
        <f t="shared" si="49"/>
        <v>12959.209677419354</v>
      </c>
    </row>
    <row r="93" spans="1:29" x14ac:dyDescent="0.2">
      <c r="A93" s="10" t="s">
        <v>848</v>
      </c>
      <c r="B93" s="11">
        <f t="shared" si="56"/>
        <v>88</v>
      </c>
      <c r="C93" s="11" t="s">
        <v>678</v>
      </c>
      <c r="D93" s="11" t="s">
        <v>51</v>
      </c>
      <c r="E93" s="19" t="s">
        <v>237</v>
      </c>
      <c r="F93" s="22">
        <v>42935</v>
      </c>
      <c r="G93" s="11">
        <v>30</v>
      </c>
      <c r="H93" s="13">
        <f t="shared" si="43"/>
        <v>4838.7096774193542</v>
      </c>
      <c r="I93" s="13">
        <f t="shared" si="50"/>
        <v>0</v>
      </c>
      <c r="J93" s="13">
        <f t="shared" si="44"/>
        <v>241.93548387096772</v>
      </c>
      <c r="L93" s="13">
        <f t="shared" si="51"/>
        <v>774.19354838709671</v>
      </c>
      <c r="N93" s="13">
        <f t="shared" si="58"/>
        <v>4784.5161290322576</v>
      </c>
      <c r="P93" s="13">
        <f t="shared" si="59"/>
        <v>10639.354838709676</v>
      </c>
      <c r="Q93" s="12">
        <f t="shared" si="45"/>
        <v>580.64516129032245</v>
      </c>
      <c r="R93" s="12">
        <f t="shared" si="46"/>
        <v>187</v>
      </c>
      <c r="S93" s="21">
        <f t="shared" si="52"/>
        <v>200</v>
      </c>
      <c r="T93" s="13">
        <v>0</v>
      </c>
      <c r="U93" s="13">
        <f t="shared" si="34"/>
        <v>967.64516129032245</v>
      </c>
      <c r="V93" s="13">
        <f t="shared" si="47"/>
        <v>9671.7096774193542</v>
      </c>
      <c r="X93" s="13">
        <f t="shared" si="53"/>
        <v>9671.7096774193542</v>
      </c>
      <c r="Y93" s="12">
        <f t="shared" si="54"/>
        <v>636.29032258064512</v>
      </c>
      <c r="Z93" s="12">
        <f t="shared" si="48"/>
        <v>506</v>
      </c>
      <c r="AA93" s="1">
        <f t="shared" si="55"/>
        <v>0</v>
      </c>
      <c r="AB93" s="16">
        <f t="shared" si="60"/>
        <v>1142.2903225806451</v>
      </c>
      <c r="AC93" s="16">
        <f t="shared" si="49"/>
        <v>11781.645161290322</v>
      </c>
    </row>
    <row r="94" spans="1:29" x14ac:dyDescent="0.2">
      <c r="A94" s="10" t="s">
        <v>849</v>
      </c>
      <c r="B94" s="11">
        <f t="shared" si="56"/>
        <v>89</v>
      </c>
      <c r="C94" s="11" t="s">
        <v>679</v>
      </c>
      <c r="D94" s="11" t="s">
        <v>51</v>
      </c>
      <c r="E94" s="11" t="s">
        <v>658</v>
      </c>
      <c r="F94" s="22">
        <v>42937</v>
      </c>
      <c r="G94" s="11">
        <v>31</v>
      </c>
      <c r="H94" s="13">
        <f t="shared" si="43"/>
        <v>5000</v>
      </c>
      <c r="I94" s="13">
        <f t="shared" si="50"/>
        <v>0</v>
      </c>
      <c r="J94" s="13">
        <f t="shared" si="44"/>
        <v>250</v>
      </c>
      <c r="L94" s="13">
        <f t="shared" si="51"/>
        <v>800</v>
      </c>
      <c r="N94" s="13">
        <f t="shared" si="58"/>
        <v>4944</v>
      </c>
      <c r="P94" s="13">
        <f t="shared" si="59"/>
        <v>10994</v>
      </c>
      <c r="Q94" s="12">
        <f t="shared" si="45"/>
        <v>600</v>
      </c>
      <c r="R94" s="12">
        <f t="shared" si="46"/>
        <v>193</v>
      </c>
      <c r="S94" s="21">
        <f t="shared" si="52"/>
        <v>200</v>
      </c>
      <c r="T94" s="13">
        <v>0</v>
      </c>
      <c r="U94" s="13">
        <f t="shared" ref="U94:U133" si="61">SUM(Q94:T94)</f>
        <v>993</v>
      </c>
      <c r="V94" s="13">
        <f t="shared" si="47"/>
        <v>10001</v>
      </c>
      <c r="X94" s="13">
        <f t="shared" si="53"/>
        <v>10001</v>
      </c>
      <c r="Y94" s="12">
        <f t="shared" si="54"/>
        <v>657.5</v>
      </c>
      <c r="Z94" s="12">
        <f t="shared" si="48"/>
        <v>523</v>
      </c>
      <c r="AA94" s="1">
        <f t="shared" si="55"/>
        <v>0</v>
      </c>
      <c r="AB94" s="16">
        <f t="shared" si="60"/>
        <v>1180.5</v>
      </c>
      <c r="AC94" s="16">
        <f t="shared" si="49"/>
        <v>12174.5</v>
      </c>
    </row>
    <row r="95" spans="1:29" x14ac:dyDescent="0.2">
      <c r="A95" s="10" t="s">
        <v>850</v>
      </c>
      <c r="B95" s="11">
        <f t="shared" si="56"/>
        <v>90</v>
      </c>
      <c r="C95" s="11" t="s">
        <v>680</v>
      </c>
      <c r="D95" s="11" t="s">
        <v>51</v>
      </c>
      <c r="E95" s="19" t="s">
        <v>581</v>
      </c>
      <c r="F95" s="22">
        <v>42939</v>
      </c>
      <c r="G95" s="11">
        <v>34</v>
      </c>
      <c r="H95" s="13">
        <f t="shared" si="43"/>
        <v>5483.8709677419356</v>
      </c>
      <c r="I95" s="13">
        <f t="shared" si="50"/>
        <v>0</v>
      </c>
      <c r="J95" s="13">
        <f t="shared" si="44"/>
        <v>274.19354838709677</v>
      </c>
      <c r="L95" s="13">
        <f t="shared" si="51"/>
        <v>877.41935483870964</v>
      </c>
      <c r="N95" s="13">
        <f t="shared" si="58"/>
        <v>5422.4516129032254</v>
      </c>
      <c r="P95" s="13">
        <f t="shared" si="59"/>
        <v>12057.935483870966</v>
      </c>
      <c r="Q95" s="12">
        <f t="shared" si="45"/>
        <v>658.0645161290322</v>
      </c>
      <c r="R95" s="12">
        <f t="shared" si="46"/>
        <v>212</v>
      </c>
      <c r="S95" s="21">
        <f t="shared" si="52"/>
        <v>200</v>
      </c>
      <c r="T95" s="13">
        <v>0</v>
      </c>
      <c r="U95" s="13">
        <f t="shared" si="61"/>
        <v>1070.0645161290322</v>
      </c>
      <c r="V95" s="13">
        <f t="shared" si="47"/>
        <v>10987.870967741934</v>
      </c>
      <c r="X95" s="13">
        <f t="shared" si="53"/>
        <v>10987.870967741934</v>
      </c>
      <c r="Y95" s="12">
        <f t="shared" si="54"/>
        <v>721.12903225806451</v>
      </c>
      <c r="Z95" s="12">
        <f t="shared" si="48"/>
        <v>573</v>
      </c>
      <c r="AA95" s="1">
        <f t="shared" si="55"/>
        <v>0</v>
      </c>
      <c r="AB95" s="16">
        <f t="shared" si="60"/>
        <v>1294.1290322580644</v>
      </c>
      <c r="AC95" s="16">
        <f t="shared" si="49"/>
        <v>13352.06451612903</v>
      </c>
    </row>
    <row r="96" spans="1:29" x14ac:dyDescent="0.2">
      <c r="A96" s="10" t="s">
        <v>851</v>
      </c>
      <c r="B96" s="11">
        <f t="shared" si="56"/>
        <v>91</v>
      </c>
      <c r="C96" s="11" t="s">
        <v>1028</v>
      </c>
      <c r="D96" s="11" t="s">
        <v>51</v>
      </c>
      <c r="E96" s="19" t="s">
        <v>237</v>
      </c>
      <c r="F96" s="22">
        <v>42940</v>
      </c>
      <c r="G96" s="11">
        <v>37</v>
      </c>
      <c r="H96" s="13">
        <f t="shared" si="43"/>
        <v>5967.7419354838703</v>
      </c>
      <c r="I96" s="13">
        <f t="shared" si="50"/>
        <v>0</v>
      </c>
      <c r="J96" s="13">
        <f t="shared" si="44"/>
        <v>298.38709677419354</v>
      </c>
      <c r="L96" s="13">
        <f t="shared" si="51"/>
        <v>954.83870967741927</v>
      </c>
      <c r="N96" s="13">
        <f>((1950+1000+611+1383+1006)/G$3)*G96</f>
        <v>7101.6129032258068</v>
      </c>
      <c r="O96" s="13">
        <v>1000</v>
      </c>
      <c r="P96" s="13">
        <f t="shared" si="59"/>
        <v>15322.58064516129</v>
      </c>
      <c r="Q96" s="12">
        <f t="shared" si="45"/>
        <v>716.1290322580644</v>
      </c>
      <c r="R96" s="12">
        <f t="shared" si="46"/>
        <v>269</v>
      </c>
      <c r="S96" s="21">
        <f t="shared" si="52"/>
        <v>200</v>
      </c>
      <c r="T96" s="13">
        <v>0</v>
      </c>
      <c r="U96" s="13">
        <f t="shared" si="61"/>
        <v>1185.1290322580644</v>
      </c>
      <c r="V96" s="13">
        <f t="shared" si="47"/>
        <v>14137.451612903225</v>
      </c>
      <c r="X96" s="13">
        <f t="shared" si="53"/>
        <v>14137.451612903225</v>
      </c>
      <c r="Y96" s="12">
        <f t="shared" si="54"/>
        <v>784.75806451612902</v>
      </c>
      <c r="Z96" s="12">
        <f t="shared" si="48"/>
        <v>728</v>
      </c>
      <c r="AA96" s="1">
        <f t="shared" si="55"/>
        <v>0</v>
      </c>
      <c r="AB96" s="16">
        <f t="shared" si="60"/>
        <v>1512.758064516129</v>
      </c>
      <c r="AC96" s="16">
        <f t="shared" si="49"/>
        <v>16835.33870967742</v>
      </c>
    </row>
    <row r="97" spans="1:29" x14ac:dyDescent="0.2">
      <c r="A97" s="10" t="s">
        <v>852</v>
      </c>
      <c r="B97" s="11">
        <f t="shared" si="56"/>
        <v>92</v>
      </c>
      <c r="C97" s="11" t="s">
        <v>681</v>
      </c>
      <c r="D97" s="11" t="s">
        <v>51</v>
      </c>
      <c r="E97" s="11" t="s">
        <v>658</v>
      </c>
      <c r="F97" s="22">
        <v>42941</v>
      </c>
      <c r="G97" s="11">
        <v>31</v>
      </c>
      <c r="H97" s="13">
        <f t="shared" si="43"/>
        <v>5000</v>
      </c>
      <c r="I97" s="13">
        <f t="shared" si="50"/>
        <v>0</v>
      </c>
      <c r="J97" s="13">
        <f t="shared" si="44"/>
        <v>250</v>
      </c>
      <c r="L97" s="13">
        <f t="shared" si="51"/>
        <v>800</v>
      </c>
      <c r="N97" s="13">
        <f t="shared" si="58"/>
        <v>4944</v>
      </c>
      <c r="P97" s="13">
        <f t="shared" si="59"/>
        <v>10994</v>
      </c>
      <c r="Q97" s="12">
        <f t="shared" si="45"/>
        <v>600</v>
      </c>
      <c r="R97" s="12">
        <f t="shared" si="46"/>
        <v>193</v>
      </c>
      <c r="S97" s="21">
        <f t="shared" si="52"/>
        <v>200</v>
      </c>
      <c r="T97" s="13">
        <v>0</v>
      </c>
      <c r="U97" s="13">
        <f t="shared" si="61"/>
        <v>993</v>
      </c>
      <c r="V97" s="13">
        <f t="shared" si="47"/>
        <v>10001</v>
      </c>
      <c r="X97" s="13">
        <f t="shared" si="53"/>
        <v>10001</v>
      </c>
      <c r="Y97" s="12">
        <f t="shared" si="54"/>
        <v>657.5</v>
      </c>
      <c r="Z97" s="12">
        <f t="shared" si="48"/>
        <v>523</v>
      </c>
      <c r="AA97" s="1">
        <f t="shared" si="55"/>
        <v>0</v>
      </c>
      <c r="AB97" s="16">
        <f t="shared" si="60"/>
        <v>1180.5</v>
      </c>
      <c r="AC97" s="16">
        <f t="shared" si="49"/>
        <v>12174.5</v>
      </c>
    </row>
    <row r="98" spans="1:29" x14ac:dyDescent="0.2">
      <c r="A98" s="10" t="s">
        <v>853</v>
      </c>
      <c r="B98" s="11">
        <f t="shared" si="56"/>
        <v>93</v>
      </c>
      <c r="C98" s="11" t="s">
        <v>682</v>
      </c>
      <c r="D98" s="11" t="s">
        <v>51</v>
      </c>
      <c r="E98" s="19" t="s">
        <v>581</v>
      </c>
      <c r="F98" s="22">
        <v>42943</v>
      </c>
      <c r="G98" s="11">
        <v>28</v>
      </c>
      <c r="H98" s="13">
        <f t="shared" si="43"/>
        <v>4516.1290322580644</v>
      </c>
      <c r="I98" s="13">
        <f t="shared" si="50"/>
        <v>0</v>
      </c>
      <c r="J98" s="13">
        <f t="shared" si="44"/>
        <v>225.80645161290323</v>
      </c>
      <c r="L98" s="13">
        <f t="shared" si="51"/>
        <v>722.58064516129025</v>
      </c>
      <c r="N98" s="13">
        <f t="shared" si="58"/>
        <v>4465.5483870967737</v>
      </c>
      <c r="P98" s="13">
        <f t="shared" si="59"/>
        <v>9930.0645161290304</v>
      </c>
      <c r="Q98" s="12">
        <f t="shared" si="45"/>
        <v>541.93548387096769</v>
      </c>
      <c r="R98" s="12">
        <f t="shared" si="46"/>
        <v>174</v>
      </c>
      <c r="S98" s="21">
        <f t="shared" si="52"/>
        <v>175</v>
      </c>
      <c r="T98" s="13">
        <v>0</v>
      </c>
      <c r="U98" s="13">
        <f t="shared" si="61"/>
        <v>890.93548387096769</v>
      </c>
      <c r="V98" s="13">
        <f t="shared" si="47"/>
        <v>9039.1290322580626</v>
      </c>
      <c r="X98" s="13">
        <f t="shared" si="53"/>
        <v>9039.1290322580626</v>
      </c>
      <c r="Y98" s="12">
        <f t="shared" si="54"/>
        <v>593.87096774193549</v>
      </c>
      <c r="Z98" s="12">
        <f t="shared" si="48"/>
        <v>472</v>
      </c>
      <c r="AA98" s="1">
        <f t="shared" si="55"/>
        <v>0</v>
      </c>
      <c r="AB98" s="16">
        <f t="shared" si="60"/>
        <v>1065.8709677419356</v>
      </c>
      <c r="AC98" s="16">
        <f t="shared" si="49"/>
        <v>10995.935483870966</v>
      </c>
    </row>
    <row r="99" spans="1:29" x14ac:dyDescent="0.2">
      <c r="A99" s="10" t="s">
        <v>854</v>
      </c>
      <c r="B99" s="11">
        <f t="shared" si="56"/>
        <v>94</v>
      </c>
      <c r="C99" s="11" t="s">
        <v>683</v>
      </c>
      <c r="D99" s="11" t="s">
        <v>51</v>
      </c>
      <c r="E99" s="19" t="s">
        <v>701</v>
      </c>
      <c r="F99" s="22">
        <v>42944</v>
      </c>
      <c r="G99" s="11">
        <v>31</v>
      </c>
      <c r="H99" s="13">
        <f t="shared" si="43"/>
        <v>5000</v>
      </c>
      <c r="I99" s="13">
        <f t="shared" si="50"/>
        <v>0</v>
      </c>
      <c r="J99" s="13">
        <f t="shared" si="44"/>
        <v>250</v>
      </c>
      <c r="L99" s="13">
        <f t="shared" si="51"/>
        <v>800</v>
      </c>
      <c r="N99" s="13">
        <f>((1950+1000+0)/G$3)*G99</f>
        <v>2950</v>
      </c>
      <c r="P99" s="13">
        <f t="shared" si="59"/>
        <v>9000</v>
      </c>
      <c r="Q99" s="12">
        <f t="shared" si="45"/>
        <v>600</v>
      </c>
      <c r="R99" s="12">
        <f t="shared" si="46"/>
        <v>158</v>
      </c>
      <c r="S99" s="21">
        <f t="shared" si="52"/>
        <v>175</v>
      </c>
      <c r="T99" s="13">
        <v>0</v>
      </c>
      <c r="U99" s="13">
        <f t="shared" si="61"/>
        <v>933</v>
      </c>
      <c r="V99" s="13">
        <f t="shared" si="47"/>
        <v>8067</v>
      </c>
      <c r="X99" s="13">
        <f t="shared" si="53"/>
        <v>8067</v>
      </c>
      <c r="Y99" s="12">
        <f t="shared" si="54"/>
        <v>657.5</v>
      </c>
      <c r="Z99" s="12">
        <f t="shared" si="48"/>
        <v>428</v>
      </c>
      <c r="AA99" s="1">
        <f t="shared" si="55"/>
        <v>0</v>
      </c>
      <c r="AB99" s="16">
        <f t="shared" si="60"/>
        <v>1085.5</v>
      </c>
      <c r="AC99" s="16">
        <f t="shared" si="49"/>
        <v>10085.5</v>
      </c>
    </row>
    <row r="100" spans="1:29" x14ac:dyDescent="0.2">
      <c r="A100" s="10" t="s">
        <v>315</v>
      </c>
      <c r="B100" s="11">
        <f t="shared" si="56"/>
        <v>95</v>
      </c>
      <c r="C100" s="52" t="s">
        <v>991</v>
      </c>
      <c r="D100" s="11" t="s">
        <v>51</v>
      </c>
      <c r="E100" s="19" t="s">
        <v>239</v>
      </c>
      <c r="F100" s="22">
        <v>42948</v>
      </c>
      <c r="G100" s="11">
        <v>2</v>
      </c>
      <c r="H100" s="13">
        <f t="shared" si="43"/>
        <v>322.58064516129031</v>
      </c>
      <c r="I100" s="13">
        <f t="shared" si="50"/>
        <v>0</v>
      </c>
      <c r="J100" s="13">
        <f t="shared" si="44"/>
        <v>16.129032258064516</v>
      </c>
      <c r="L100" s="13">
        <f t="shared" si="51"/>
        <v>51.612903225806448</v>
      </c>
      <c r="N100" s="13">
        <f>((1950+2994)/G$3)*G100</f>
        <v>318.96774193548384</v>
      </c>
      <c r="P100" s="13">
        <f t="shared" ref="P100" si="62">SUM(H100:O100)</f>
        <v>709.29032258064512</v>
      </c>
      <c r="Q100" s="12">
        <f t="shared" si="45"/>
        <v>38.709677419354833</v>
      </c>
      <c r="R100" s="12">
        <f t="shared" si="46"/>
        <v>13</v>
      </c>
      <c r="S100" s="21">
        <f t="shared" si="52"/>
        <v>0</v>
      </c>
      <c r="T100" s="13">
        <v>0</v>
      </c>
      <c r="U100" s="13">
        <f t="shared" si="61"/>
        <v>51.709677419354833</v>
      </c>
      <c r="V100" s="13">
        <f t="shared" si="47"/>
        <v>657.58064516129025</v>
      </c>
      <c r="X100" s="13">
        <f t="shared" si="53"/>
        <v>657.58064516129025</v>
      </c>
      <c r="Y100" s="12">
        <f t="shared" si="54"/>
        <v>42.41935483870968</v>
      </c>
      <c r="Z100" s="12">
        <f t="shared" si="48"/>
        <v>34</v>
      </c>
      <c r="AA100" s="1">
        <f t="shared" si="55"/>
        <v>0</v>
      </c>
      <c r="AB100" s="16">
        <f t="shared" ref="AB100:AB134" si="63">SUM(Y100:AA100)</f>
        <v>76.41935483870968</v>
      </c>
      <c r="AC100" s="16">
        <f t="shared" si="49"/>
        <v>785.70967741935476</v>
      </c>
    </row>
    <row r="101" spans="1:29" x14ac:dyDescent="0.2">
      <c r="A101" s="10" t="s">
        <v>315</v>
      </c>
      <c r="B101" s="11">
        <f t="shared" si="56"/>
        <v>96</v>
      </c>
      <c r="C101" s="52" t="s">
        <v>992</v>
      </c>
      <c r="D101" s="11" t="s">
        <v>51</v>
      </c>
      <c r="E101" s="19" t="s">
        <v>658</v>
      </c>
      <c r="F101" s="22">
        <v>42948</v>
      </c>
      <c r="G101" s="11">
        <v>2</v>
      </c>
      <c r="H101" s="13">
        <f t="shared" si="43"/>
        <v>322.58064516129031</v>
      </c>
      <c r="I101" s="13">
        <f t="shared" si="50"/>
        <v>0</v>
      </c>
      <c r="J101" s="13">
        <f t="shared" si="44"/>
        <v>16.129032258064516</v>
      </c>
      <c r="L101" s="13">
        <f t="shared" si="51"/>
        <v>51.612903225806448</v>
      </c>
      <c r="N101" s="13">
        <f t="shared" ref="N101:N132" si="64">((1950+2994)/G$3)*G101</f>
        <v>318.96774193548384</v>
      </c>
      <c r="P101" s="13">
        <f t="shared" ref="P101:P133" si="65">SUM(H101:O101)</f>
        <v>709.29032258064512</v>
      </c>
      <c r="Q101" s="12">
        <f t="shared" si="45"/>
        <v>38.709677419354833</v>
      </c>
      <c r="R101" s="12">
        <f t="shared" si="46"/>
        <v>13</v>
      </c>
      <c r="S101" s="21">
        <f t="shared" si="52"/>
        <v>0</v>
      </c>
      <c r="T101" s="13">
        <v>0</v>
      </c>
      <c r="U101" s="13">
        <f t="shared" si="61"/>
        <v>51.709677419354833</v>
      </c>
      <c r="V101" s="13">
        <f t="shared" si="47"/>
        <v>657.58064516129025</v>
      </c>
      <c r="X101" s="13">
        <f t="shared" si="53"/>
        <v>657.58064516129025</v>
      </c>
      <c r="Y101" s="12">
        <f t="shared" si="54"/>
        <v>42.41935483870968</v>
      </c>
      <c r="Z101" s="12">
        <f t="shared" si="48"/>
        <v>34</v>
      </c>
      <c r="AA101" s="1">
        <f t="shared" si="55"/>
        <v>0</v>
      </c>
      <c r="AB101" s="16">
        <f t="shared" si="63"/>
        <v>76.41935483870968</v>
      </c>
      <c r="AC101" s="16">
        <f t="shared" si="49"/>
        <v>785.70967741935476</v>
      </c>
    </row>
    <row r="102" spans="1:29" x14ac:dyDescent="0.2">
      <c r="A102" s="10" t="s">
        <v>315</v>
      </c>
      <c r="B102" s="11">
        <f t="shared" si="56"/>
        <v>97</v>
      </c>
      <c r="C102" s="52" t="s">
        <v>993</v>
      </c>
      <c r="D102" s="11" t="s">
        <v>51</v>
      </c>
      <c r="E102" s="19" t="s">
        <v>658</v>
      </c>
      <c r="F102" s="22">
        <v>42948</v>
      </c>
      <c r="G102" s="11">
        <v>7</v>
      </c>
      <c r="H102" s="13">
        <f t="shared" si="43"/>
        <v>1129.0322580645161</v>
      </c>
      <c r="I102" s="13">
        <f t="shared" si="50"/>
        <v>0</v>
      </c>
      <c r="J102" s="13">
        <f t="shared" si="44"/>
        <v>56.451612903225808</v>
      </c>
      <c r="L102" s="13">
        <f t="shared" si="51"/>
        <v>180.64516129032256</v>
      </c>
      <c r="N102" s="13">
        <f t="shared" si="64"/>
        <v>1116.3870967741934</v>
      </c>
      <c r="P102" s="13">
        <f t="shared" si="65"/>
        <v>2482.5161290322576</v>
      </c>
      <c r="Q102" s="12">
        <f t="shared" si="45"/>
        <v>135.48387096774192</v>
      </c>
      <c r="R102" s="12">
        <f t="shared" si="46"/>
        <v>44</v>
      </c>
      <c r="S102" s="21">
        <f t="shared" si="52"/>
        <v>0</v>
      </c>
      <c r="T102" s="13">
        <v>0</v>
      </c>
      <c r="U102" s="13">
        <f t="shared" si="61"/>
        <v>179.48387096774192</v>
      </c>
      <c r="V102" s="13">
        <f t="shared" si="47"/>
        <v>2303.0322580645156</v>
      </c>
      <c r="X102" s="13">
        <f t="shared" si="53"/>
        <v>2303.0322580645156</v>
      </c>
      <c r="Y102" s="12">
        <f t="shared" si="54"/>
        <v>148.46774193548387</v>
      </c>
      <c r="Z102" s="12">
        <f t="shared" si="48"/>
        <v>118</v>
      </c>
      <c r="AA102" s="1">
        <f t="shared" si="55"/>
        <v>0</v>
      </c>
      <c r="AB102" s="16">
        <f t="shared" si="63"/>
        <v>266.4677419354839</v>
      </c>
      <c r="AC102" s="16">
        <f t="shared" si="49"/>
        <v>2748.9838709677415</v>
      </c>
    </row>
    <row r="103" spans="1:29" x14ac:dyDescent="0.2">
      <c r="A103" s="10" t="s">
        <v>315</v>
      </c>
      <c r="B103" s="11">
        <f t="shared" si="56"/>
        <v>98</v>
      </c>
      <c r="C103" s="11" t="s">
        <v>994</v>
      </c>
      <c r="D103" s="11" t="s">
        <v>51</v>
      </c>
      <c r="E103" s="19" t="s">
        <v>658</v>
      </c>
      <c r="F103" s="22">
        <v>42949</v>
      </c>
      <c r="G103" s="11">
        <v>23</v>
      </c>
      <c r="H103" s="13">
        <f t="shared" si="43"/>
        <v>3709.6774193548385</v>
      </c>
      <c r="I103" s="13">
        <f t="shared" si="50"/>
        <v>0</v>
      </c>
      <c r="J103" s="13">
        <f t="shared" si="44"/>
        <v>185.48387096774195</v>
      </c>
      <c r="L103" s="13">
        <f t="shared" si="51"/>
        <v>593.54838709677415</v>
      </c>
      <c r="N103" s="13">
        <f t="shared" si="64"/>
        <v>3668.1290322580644</v>
      </c>
      <c r="P103" s="13">
        <f t="shared" si="65"/>
        <v>8156.8387096774186</v>
      </c>
      <c r="Q103" s="12">
        <f t="shared" si="45"/>
        <v>445.16129032258061</v>
      </c>
      <c r="R103" s="12">
        <f t="shared" si="46"/>
        <v>143</v>
      </c>
      <c r="S103" s="21">
        <f t="shared" si="52"/>
        <v>175</v>
      </c>
      <c r="T103" s="13">
        <v>0</v>
      </c>
      <c r="U103" s="13">
        <f t="shared" si="61"/>
        <v>763.16129032258061</v>
      </c>
      <c r="V103" s="13">
        <f t="shared" si="47"/>
        <v>7393.6774193548381</v>
      </c>
      <c r="X103" s="13">
        <f t="shared" si="53"/>
        <v>7393.6774193548381</v>
      </c>
      <c r="Y103" s="12">
        <f t="shared" si="54"/>
        <v>487.82258064516128</v>
      </c>
      <c r="Z103" s="12">
        <f t="shared" si="48"/>
        <v>388</v>
      </c>
      <c r="AA103" s="1">
        <f t="shared" si="55"/>
        <v>0</v>
      </c>
      <c r="AB103" s="16">
        <f t="shared" si="63"/>
        <v>875.82258064516122</v>
      </c>
      <c r="AC103" s="16">
        <f t="shared" si="49"/>
        <v>9032.6612903225796</v>
      </c>
    </row>
    <row r="104" spans="1:29" x14ac:dyDescent="0.2">
      <c r="A104" s="10" t="s">
        <v>315</v>
      </c>
      <c r="B104" s="11">
        <f t="shared" si="56"/>
        <v>99</v>
      </c>
      <c r="C104" s="11" t="s">
        <v>995</v>
      </c>
      <c r="D104" s="11" t="s">
        <v>51</v>
      </c>
      <c r="E104" s="19" t="s">
        <v>239</v>
      </c>
      <c r="F104" s="22">
        <v>42950</v>
      </c>
      <c r="G104" s="11">
        <v>27</v>
      </c>
      <c r="H104" s="13">
        <f t="shared" si="43"/>
        <v>4354.8387096774195</v>
      </c>
      <c r="I104" s="13">
        <f t="shared" si="50"/>
        <v>0</v>
      </c>
      <c r="J104" s="13">
        <f t="shared" si="44"/>
        <v>217.74193548387098</v>
      </c>
      <c r="L104" s="13">
        <f t="shared" si="51"/>
        <v>696.77419354838707</v>
      </c>
      <c r="N104" s="13">
        <f t="shared" si="64"/>
        <v>4306.0645161290322</v>
      </c>
      <c r="P104" s="13">
        <f t="shared" si="65"/>
        <v>9575.4193548387102</v>
      </c>
      <c r="Q104" s="12">
        <f t="shared" si="45"/>
        <v>522.58064516129036</v>
      </c>
      <c r="R104" s="12">
        <f t="shared" si="46"/>
        <v>168</v>
      </c>
      <c r="S104" s="21">
        <f t="shared" si="52"/>
        <v>175</v>
      </c>
      <c r="T104" s="13">
        <v>0</v>
      </c>
      <c r="U104" s="13">
        <f t="shared" si="61"/>
        <v>865.58064516129036</v>
      </c>
      <c r="V104" s="13">
        <f t="shared" si="47"/>
        <v>8709.8387096774204</v>
      </c>
      <c r="X104" s="13">
        <f t="shared" si="53"/>
        <v>8709.8387096774204</v>
      </c>
      <c r="Y104" s="12">
        <f t="shared" si="54"/>
        <v>572.66129032258073</v>
      </c>
      <c r="Z104" s="12">
        <f t="shared" si="48"/>
        <v>455</v>
      </c>
      <c r="AA104" s="1">
        <f t="shared" si="55"/>
        <v>0</v>
      </c>
      <c r="AB104" s="16">
        <f t="shared" si="63"/>
        <v>1027.6612903225807</v>
      </c>
      <c r="AC104" s="16">
        <f t="shared" si="49"/>
        <v>10603.080645161292</v>
      </c>
    </row>
    <row r="105" spans="1:29" x14ac:dyDescent="0.2">
      <c r="A105" s="10" t="s">
        <v>315</v>
      </c>
      <c r="B105" s="11">
        <f t="shared" si="56"/>
        <v>100</v>
      </c>
      <c r="C105" s="11" t="s">
        <v>996</v>
      </c>
      <c r="D105" s="11" t="s">
        <v>51</v>
      </c>
      <c r="E105" s="19" t="s">
        <v>581</v>
      </c>
      <c r="F105" s="22">
        <v>42951</v>
      </c>
      <c r="G105" s="11">
        <v>33</v>
      </c>
      <c r="H105" s="13">
        <f t="shared" si="43"/>
        <v>5322.5806451612898</v>
      </c>
      <c r="I105" s="13">
        <f t="shared" si="50"/>
        <v>0</v>
      </c>
      <c r="J105" s="13">
        <f t="shared" si="44"/>
        <v>266.12903225806451</v>
      </c>
      <c r="L105" s="13">
        <f t="shared" si="51"/>
        <v>851.61290322580635</v>
      </c>
      <c r="N105" s="13">
        <f t="shared" si="64"/>
        <v>5262.967741935483</v>
      </c>
      <c r="O105" s="13">
        <v>1000</v>
      </c>
      <c r="P105" s="13">
        <f t="shared" si="65"/>
        <v>12703.290322580644</v>
      </c>
      <c r="Q105" s="12">
        <f t="shared" si="45"/>
        <v>638.70967741935476</v>
      </c>
      <c r="R105" s="12">
        <f t="shared" si="46"/>
        <v>223</v>
      </c>
      <c r="S105" s="21">
        <f t="shared" si="52"/>
        <v>200</v>
      </c>
      <c r="T105" s="13">
        <v>0</v>
      </c>
      <c r="U105" s="13">
        <f t="shared" si="61"/>
        <v>1061.7096774193546</v>
      </c>
      <c r="V105" s="13">
        <f t="shared" si="47"/>
        <v>11641.58064516129</v>
      </c>
      <c r="X105" s="13">
        <f t="shared" si="53"/>
        <v>11641.58064516129</v>
      </c>
      <c r="Y105" s="12">
        <f t="shared" si="54"/>
        <v>699.91935483870964</v>
      </c>
      <c r="Z105" s="12">
        <f t="shared" si="48"/>
        <v>604</v>
      </c>
      <c r="AA105" s="1">
        <f t="shared" si="55"/>
        <v>0</v>
      </c>
      <c r="AB105" s="16">
        <f t="shared" si="63"/>
        <v>1303.9193548387098</v>
      </c>
      <c r="AC105" s="16">
        <f t="shared" si="49"/>
        <v>14007.209677419354</v>
      </c>
    </row>
    <row r="106" spans="1:29" x14ac:dyDescent="0.2">
      <c r="A106" s="10" t="s">
        <v>315</v>
      </c>
      <c r="B106" s="11">
        <f t="shared" si="56"/>
        <v>101</v>
      </c>
      <c r="C106" s="52" t="s">
        <v>997</v>
      </c>
      <c r="D106" s="11" t="s">
        <v>51</v>
      </c>
      <c r="E106" s="19" t="s">
        <v>239</v>
      </c>
      <c r="F106" s="22">
        <v>42951</v>
      </c>
      <c r="G106" s="11">
        <v>2</v>
      </c>
      <c r="H106" s="13">
        <f t="shared" si="43"/>
        <v>322.58064516129031</v>
      </c>
      <c r="I106" s="13">
        <f t="shared" si="50"/>
        <v>0</v>
      </c>
      <c r="J106" s="13">
        <f t="shared" si="44"/>
        <v>16.129032258064516</v>
      </c>
      <c r="L106" s="13">
        <f t="shared" si="51"/>
        <v>51.612903225806448</v>
      </c>
      <c r="N106" s="13">
        <f t="shared" si="64"/>
        <v>318.96774193548384</v>
      </c>
      <c r="P106" s="13">
        <f t="shared" si="65"/>
        <v>709.29032258064512</v>
      </c>
      <c r="Q106" s="12">
        <f t="shared" si="45"/>
        <v>38.709677419354833</v>
      </c>
      <c r="R106" s="12">
        <f t="shared" si="46"/>
        <v>13</v>
      </c>
      <c r="S106" s="21">
        <f t="shared" si="52"/>
        <v>0</v>
      </c>
      <c r="T106" s="13">
        <v>0</v>
      </c>
      <c r="U106" s="13">
        <f t="shared" si="61"/>
        <v>51.709677419354833</v>
      </c>
      <c r="V106" s="13">
        <f t="shared" si="47"/>
        <v>657.58064516129025</v>
      </c>
      <c r="X106" s="13">
        <f t="shared" si="53"/>
        <v>657.58064516129025</v>
      </c>
      <c r="Y106" s="12">
        <f t="shared" si="54"/>
        <v>42.41935483870968</v>
      </c>
      <c r="Z106" s="12">
        <f t="shared" si="48"/>
        <v>34</v>
      </c>
      <c r="AA106" s="1">
        <f t="shared" si="55"/>
        <v>0</v>
      </c>
      <c r="AB106" s="16">
        <f t="shared" si="63"/>
        <v>76.41935483870968</v>
      </c>
      <c r="AC106" s="16">
        <f t="shared" si="49"/>
        <v>785.70967741935476</v>
      </c>
    </row>
    <row r="107" spans="1:29" x14ac:dyDescent="0.2">
      <c r="A107" s="10" t="s">
        <v>315</v>
      </c>
      <c r="B107" s="11">
        <f t="shared" si="56"/>
        <v>102</v>
      </c>
      <c r="C107" s="11" t="s">
        <v>998</v>
      </c>
      <c r="D107" s="11" t="s">
        <v>51</v>
      </c>
      <c r="E107" s="19" t="s">
        <v>658</v>
      </c>
      <c r="F107" s="22">
        <v>42953</v>
      </c>
      <c r="G107" s="11">
        <v>16</v>
      </c>
      <c r="H107" s="13">
        <f t="shared" si="43"/>
        <v>2580.6451612903224</v>
      </c>
      <c r="I107" s="13">
        <f t="shared" si="50"/>
        <v>0</v>
      </c>
      <c r="J107" s="13">
        <f t="shared" si="44"/>
        <v>129.03225806451613</v>
      </c>
      <c r="L107" s="13">
        <f t="shared" si="51"/>
        <v>412.90322580645159</v>
      </c>
      <c r="N107" s="13">
        <f t="shared" si="64"/>
        <v>2551.7419354838707</v>
      </c>
      <c r="P107" s="13">
        <f t="shared" si="65"/>
        <v>5674.322580645161</v>
      </c>
      <c r="Q107" s="12">
        <f t="shared" si="45"/>
        <v>309.67741935483866</v>
      </c>
      <c r="R107" s="12">
        <f t="shared" si="46"/>
        <v>100</v>
      </c>
      <c r="S107" s="21">
        <f t="shared" si="52"/>
        <v>0</v>
      </c>
      <c r="T107" s="13">
        <v>0</v>
      </c>
      <c r="U107" s="13">
        <f t="shared" si="61"/>
        <v>409.67741935483866</v>
      </c>
      <c r="V107" s="13">
        <f t="shared" si="47"/>
        <v>5264.645161290322</v>
      </c>
      <c r="X107" s="13">
        <f t="shared" si="53"/>
        <v>5264.645161290322</v>
      </c>
      <c r="Y107" s="12">
        <f t="shared" si="54"/>
        <v>339.35483870967744</v>
      </c>
      <c r="Z107" s="12">
        <f t="shared" si="48"/>
        <v>270</v>
      </c>
      <c r="AA107" s="1">
        <f t="shared" si="55"/>
        <v>0</v>
      </c>
      <c r="AB107" s="16">
        <f t="shared" si="63"/>
        <v>609.35483870967744</v>
      </c>
      <c r="AC107" s="16">
        <f t="shared" si="49"/>
        <v>6283.6774193548381</v>
      </c>
    </row>
    <row r="108" spans="1:29" x14ac:dyDescent="0.2">
      <c r="A108" s="10" t="s">
        <v>315</v>
      </c>
      <c r="B108" s="11">
        <f t="shared" si="56"/>
        <v>103</v>
      </c>
      <c r="C108" s="11" t="s">
        <v>999</v>
      </c>
      <c r="D108" s="11" t="s">
        <v>51</v>
      </c>
      <c r="E108" s="19" t="s">
        <v>237</v>
      </c>
      <c r="F108" s="22">
        <v>42954</v>
      </c>
      <c r="G108" s="11">
        <v>20</v>
      </c>
      <c r="H108" s="13">
        <f t="shared" si="43"/>
        <v>3225.8064516129029</v>
      </c>
      <c r="I108" s="13">
        <f t="shared" si="50"/>
        <v>0</v>
      </c>
      <c r="J108" s="13">
        <f t="shared" si="44"/>
        <v>161.29032258064515</v>
      </c>
      <c r="L108" s="13">
        <f t="shared" si="51"/>
        <v>516.12903225806451</v>
      </c>
      <c r="N108" s="13">
        <f t="shared" si="64"/>
        <v>3189.6774193548385</v>
      </c>
      <c r="P108" s="13">
        <f t="shared" si="65"/>
        <v>7092.9032258064508</v>
      </c>
      <c r="Q108" s="12">
        <f t="shared" si="45"/>
        <v>387.09677419354836</v>
      </c>
      <c r="R108" s="12">
        <f t="shared" si="46"/>
        <v>125</v>
      </c>
      <c r="S108" s="21">
        <f t="shared" si="52"/>
        <v>0</v>
      </c>
      <c r="T108" s="13">
        <v>0</v>
      </c>
      <c r="U108" s="13">
        <f t="shared" si="61"/>
        <v>512.0967741935483</v>
      </c>
      <c r="V108" s="13">
        <f t="shared" si="47"/>
        <v>6580.8064516129025</v>
      </c>
      <c r="X108" s="13">
        <f t="shared" si="53"/>
        <v>6580.8064516129025</v>
      </c>
      <c r="Y108" s="12">
        <f t="shared" si="54"/>
        <v>424.19354838709677</v>
      </c>
      <c r="Z108" s="12">
        <f t="shared" si="48"/>
        <v>337</v>
      </c>
      <c r="AA108" s="1">
        <f t="shared" si="55"/>
        <v>0</v>
      </c>
      <c r="AB108" s="16">
        <f t="shared" si="63"/>
        <v>761.19354838709683</v>
      </c>
      <c r="AC108" s="16">
        <f t="shared" si="49"/>
        <v>7854.0967741935474</v>
      </c>
    </row>
    <row r="109" spans="1:29" x14ac:dyDescent="0.2">
      <c r="A109" s="10" t="s">
        <v>315</v>
      </c>
      <c r="B109" s="11">
        <f t="shared" si="56"/>
        <v>104</v>
      </c>
      <c r="C109" s="11" t="s">
        <v>1000</v>
      </c>
      <c r="D109" s="11" t="s">
        <v>51</v>
      </c>
      <c r="E109" s="19" t="s">
        <v>658</v>
      </c>
      <c r="F109" s="22">
        <v>42956</v>
      </c>
      <c r="G109" s="11">
        <v>24</v>
      </c>
      <c r="H109" s="13">
        <f t="shared" si="43"/>
        <v>3870.9677419354839</v>
      </c>
      <c r="I109" s="13">
        <f t="shared" si="50"/>
        <v>0</v>
      </c>
      <c r="J109" s="13">
        <f t="shared" si="44"/>
        <v>193.54838709677421</v>
      </c>
      <c r="L109" s="13">
        <f t="shared" si="51"/>
        <v>619.35483870967732</v>
      </c>
      <c r="N109" s="13">
        <f t="shared" si="64"/>
        <v>3827.6129032258059</v>
      </c>
      <c r="P109" s="13">
        <f t="shared" si="65"/>
        <v>8511.4838709677424</v>
      </c>
      <c r="Q109" s="12">
        <f t="shared" si="45"/>
        <v>464.51612903225805</v>
      </c>
      <c r="R109" s="12">
        <f t="shared" si="46"/>
        <v>149</v>
      </c>
      <c r="S109" s="21">
        <f t="shared" si="52"/>
        <v>175</v>
      </c>
      <c r="T109" s="13">
        <v>0</v>
      </c>
      <c r="U109" s="13">
        <f t="shared" si="61"/>
        <v>788.51612903225805</v>
      </c>
      <c r="V109" s="13">
        <f t="shared" si="47"/>
        <v>7722.9677419354848</v>
      </c>
      <c r="X109" s="13">
        <f t="shared" si="53"/>
        <v>7722.9677419354848</v>
      </c>
      <c r="Y109" s="12">
        <f t="shared" si="54"/>
        <v>509.03225806451616</v>
      </c>
      <c r="Z109" s="12">
        <f t="shared" si="48"/>
        <v>405</v>
      </c>
      <c r="AA109" s="1">
        <f t="shared" si="55"/>
        <v>0</v>
      </c>
      <c r="AB109" s="16">
        <f t="shared" si="63"/>
        <v>914.0322580645161</v>
      </c>
      <c r="AC109" s="16">
        <f t="shared" si="49"/>
        <v>9425.5161290322576</v>
      </c>
    </row>
    <row r="110" spans="1:29" x14ac:dyDescent="0.2">
      <c r="A110" s="10" t="s">
        <v>315</v>
      </c>
      <c r="B110" s="11">
        <f t="shared" si="56"/>
        <v>105</v>
      </c>
      <c r="C110" s="11" t="s">
        <v>1001</v>
      </c>
      <c r="D110" s="11" t="s">
        <v>51</v>
      </c>
      <c r="E110" s="19" t="s">
        <v>658</v>
      </c>
      <c r="F110" s="22">
        <v>42958</v>
      </c>
      <c r="G110" s="11">
        <v>17</v>
      </c>
      <c r="H110" s="13">
        <f t="shared" si="43"/>
        <v>2741.9354838709678</v>
      </c>
      <c r="I110" s="13">
        <f t="shared" si="50"/>
        <v>0</v>
      </c>
      <c r="J110" s="13">
        <f t="shared" si="44"/>
        <v>137.09677419354838</v>
      </c>
      <c r="L110" s="13">
        <f t="shared" si="51"/>
        <v>438.70967741935482</v>
      </c>
      <c r="N110" s="13">
        <f t="shared" si="64"/>
        <v>2711.2258064516127</v>
      </c>
      <c r="P110" s="13">
        <f t="shared" si="65"/>
        <v>6028.967741935483</v>
      </c>
      <c r="Q110" s="12">
        <f t="shared" si="45"/>
        <v>329.0322580645161</v>
      </c>
      <c r="R110" s="12">
        <f t="shared" si="46"/>
        <v>106</v>
      </c>
      <c r="S110" s="21">
        <f t="shared" si="52"/>
        <v>0</v>
      </c>
      <c r="T110" s="13">
        <v>0</v>
      </c>
      <c r="U110" s="13">
        <f t="shared" si="61"/>
        <v>435.0322580645161</v>
      </c>
      <c r="V110" s="13">
        <f t="shared" si="47"/>
        <v>5593.9354838709669</v>
      </c>
      <c r="X110" s="13">
        <f t="shared" si="53"/>
        <v>5593.9354838709669</v>
      </c>
      <c r="Y110" s="12">
        <f t="shared" si="54"/>
        <v>360.56451612903226</v>
      </c>
      <c r="Z110" s="12">
        <f t="shared" si="48"/>
        <v>287</v>
      </c>
      <c r="AA110" s="1">
        <f t="shared" si="55"/>
        <v>0</v>
      </c>
      <c r="AB110" s="16">
        <f t="shared" si="63"/>
        <v>647.5645161290322</v>
      </c>
      <c r="AC110" s="16">
        <f t="shared" si="49"/>
        <v>6676.5322580645152</v>
      </c>
    </row>
    <row r="111" spans="1:29" x14ac:dyDescent="0.2">
      <c r="A111" s="10" t="s">
        <v>315</v>
      </c>
      <c r="B111" s="11">
        <f t="shared" si="56"/>
        <v>106</v>
      </c>
      <c r="C111" s="11" t="s">
        <v>1002</v>
      </c>
      <c r="D111" s="11" t="s">
        <v>51</v>
      </c>
      <c r="E111" s="19" t="s">
        <v>658</v>
      </c>
      <c r="F111" s="22">
        <v>42958</v>
      </c>
      <c r="G111" s="11">
        <v>21</v>
      </c>
      <c r="H111" s="13">
        <f t="shared" si="43"/>
        <v>3387.0967741935483</v>
      </c>
      <c r="I111" s="13">
        <f t="shared" si="50"/>
        <v>0</v>
      </c>
      <c r="J111" s="13">
        <f t="shared" si="44"/>
        <v>169.35483870967744</v>
      </c>
      <c r="L111" s="13">
        <f t="shared" si="51"/>
        <v>541.93548387096769</v>
      </c>
      <c r="N111" s="13">
        <f t="shared" si="64"/>
        <v>3349.1612903225805</v>
      </c>
      <c r="P111" s="13">
        <f t="shared" si="65"/>
        <v>7447.5483870967737</v>
      </c>
      <c r="Q111" s="12">
        <f t="shared" si="45"/>
        <v>406.45161290322579</v>
      </c>
      <c r="R111" s="12">
        <f t="shared" si="46"/>
        <v>131</v>
      </c>
      <c r="S111" s="21">
        <f t="shared" si="52"/>
        <v>0</v>
      </c>
      <c r="T111" s="13">
        <v>0</v>
      </c>
      <c r="U111" s="13">
        <f t="shared" si="61"/>
        <v>537.45161290322585</v>
      </c>
      <c r="V111" s="13">
        <f t="shared" si="47"/>
        <v>6910.0967741935474</v>
      </c>
      <c r="X111" s="13">
        <f t="shared" si="53"/>
        <v>6910.0967741935474</v>
      </c>
      <c r="Y111" s="12">
        <f t="shared" si="54"/>
        <v>445.40322580645164</v>
      </c>
      <c r="Z111" s="12">
        <f t="shared" si="48"/>
        <v>354</v>
      </c>
      <c r="AA111" s="1">
        <f t="shared" si="55"/>
        <v>0</v>
      </c>
      <c r="AB111" s="16">
        <f t="shared" si="63"/>
        <v>799.4032258064517</v>
      </c>
      <c r="AC111" s="16">
        <f t="shared" si="49"/>
        <v>8246.9516129032254</v>
      </c>
    </row>
    <row r="112" spans="1:29" x14ac:dyDescent="0.2">
      <c r="A112" s="10" t="s">
        <v>315</v>
      </c>
      <c r="B112" s="11">
        <f t="shared" si="56"/>
        <v>107</v>
      </c>
      <c r="C112" s="11" t="s">
        <v>1003</v>
      </c>
      <c r="D112" s="11" t="s">
        <v>51</v>
      </c>
      <c r="E112" s="19" t="s">
        <v>658</v>
      </c>
      <c r="F112" s="22">
        <v>42958</v>
      </c>
      <c r="G112" s="11">
        <v>18</v>
      </c>
      <c r="H112" s="13">
        <f t="shared" si="43"/>
        <v>2903.2258064516127</v>
      </c>
      <c r="I112" s="13">
        <f t="shared" si="50"/>
        <v>0</v>
      </c>
      <c r="J112" s="13">
        <f t="shared" si="44"/>
        <v>145.16129032258064</v>
      </c>
      <c r="L112" s="13">
        <f t="shared" si="51"/>
        <v>464.51612903225805</v>
      </c>
      <c r="N112" s="13">
        <f t="shared" si="64"/>
        <v>2870.7096774193546</v>
      </c>
      <c r="P112" s="13">
        <f t="shared" si="65"/>
        <v>6383.6129032258059</v>
      </c>
      <c r="Q112" s="12">
        <f t="shared" si="45"/>
        <v>348.38709677419354</v>
      </c>
      <c r="R112" s="12">
        <f t="shared" si="46"/>
        <v>112</v>
      </c>
      <c r="S112" s="21">
        <f t="shared" si="52"/>
        <v>0</v>
      </c>
      <c r="T112" s="13">
        <v>0</v>
      </c>
      <c r="U112" s="13">
        <f t="shared" si="61"/>
        <v>460.38709677419354</v>
      </c>
      <c r="V112" s="13">
        <f t="shared" si="47"/>
        <v>5923.2258064516127</v>
      </c>
      <c r="X112" s="13">
        <f t="shared" si="53"/>
        <v>5923.2258064516127</v>
      </c>
      <c r="Y112" s="12">
        <f t="shared" si="54"/>
        <v>381.77419354838707</v>
      </c>
      <c r="Z112" s="12">
        <f t="shared" si="48"/>
        <v>304</v>
      </c>
      <c r="AA112" s="1">
        <f t="shared" si="55"/>
        <v>0</v>
      </c>
      <c r="AB112" s="16">
        <f t="shared" si="63"/>
        <v>685.77419354838707</v>
      </c>
      <c r="AC112" s="16">
        <f t="shared" si="49"/>
        <v>7069.3870967741932</v>
      </c>
    </row>
    <row r="113" spans="1:29" x14ac:dyDescent="0.2">
      <c r="A113" s="10" t="s">
        <v>315</v>
      </c>
      <c r="B113" s="11">
        <f t="shared" si="56"/>
        <v>108</v>
      </c>
      <c r="C113" s="52" t="s">
        <v>1004</v>
      </c>
      <c r="D113" s="11" t="s">
        <v>51</v>
      </c>
      <c r="E113" s="19" t="s">
        <v>658</v>
      </c>
      <c r="F113" s="22">
        <v>42958</v>
      </c>
      <c r="G113" s="11">
        <v>2</v>
      </c>
      <c r="H113" s="13">
        <f t="shared" si="43"/>
        <v>322.58064516129031</v>
      </c>
      <c r="I113" s="13">
        <f t="shared" si="50"/>
        <v>0</v>
      </c>
      <c r="J113" s="13">
        <f t="shared" si="44"/>
        <v>16.129032258064516</v>
      </c>
      <c r="L113" s="13">
        <f t="shared" si="51"/>
        <v>51.612903225806448</v>
      </c>
      <c r="N113" s="13">
        <f t="shared" si="64"/>
        <v>318.96774193548384</v>
      </c>
      <c r="P113" s="13">
        <f t="shared" si="65"/>
        <v>709.29032258064512</v>
      </c>
      <c r="Q113" s="12">
        <f t="shared" si="45"/>
        <v>38.709677419354833</v>
      </c>
      <c r="R113" s="12">
        <f t="shared" si="46"/>
        <v>13</v>
      </c>
      <c r="S113" s="21">
        <f t="shared" si="52"/>
        <v>0</v>
      </c>
      <c r="T113" s="13">
        <v>0</v>
      </c>
      <c r="U113" s="13">
        <f t="shared" si="61"/>
        <v>51.709677419354833</v>
      </c>
      <c r="V113" s="13">
        <f t="shared" si="47"/>
        <v>657.58064516129025</v>
      </c>
      <c r="X113" s="13">
        <f t="shared" si="53"/>
        <v>657.58064516129025</v>
      </c>
      <c r="Y113" s="12">
        <f t="shared" si="54"/>
        <v>42.41935483870968</v>
      </c>
      <c r="Z113" s="12">
        <f t="shared" si="48"/>
        <v>34</v>
      </c>
      <c r="AA113" s="1">
        <f t="shared" si="55"/>
        <v>0</v>
      </c>
      <c r="AB113" s="16">
        <f t="shared" si="63"/>
        <v>76.41935483870968</v>
      </c>
      <c r="AC113" s="16">
        <f t="shared" si="49"/>
        <v>785.70967741935476</v>
      </c>
    </row>
    <row r="114" spans="1:29" x14ac:dyDescent="0.2">
      <c r="A114" s="10" t="s">
        <v>315</v>
      </c>
      <c r="B114" s="11">
        <f t="shared" si="56"/>
        <v>109</v>
      </c>
      <c r="C114" s="52" t="s">
        <v>1005</v>
      </c>
      <c r="D114" s="11" t="s">
        <v>51</v>
      </c>
      <c r="E114" s="19" t="s">
        <v>658</v>
      </c>
      <c r="F114" s="22">
        <v>42960</v>
      </c>
      <c r="G114" s="11">
        <v>6</v>
      </c>
      <c r="H114" s="13">
        <f t="shared" si="43"/>
        <v>967.74193548387098</v>
      </c>
      <c r="I114" s="13">
        <f t="shared" si="50"/>
        <v>0</v>
      </c>
      <c r="J114" s="13">
        <f t="shared" si="44"/>
        <v>48.387096774193552</v>
      </c>
      <c r="L114" s="13">
        <f t="shared" si="51"/>
        <v>154.83870967741933</v>
      </c>
      <c r="N114" s="13">
        <f t="shared" si="64"/>
        <v>956.90322580645147</v>
      </c>
      <c r="P114" s="13">
        <f t="shared" si="65"/>
        <v>2127.8709677419356</v>
      </c>
      <c r="Q114" s="12">
        <f t="shared" si="45"/>
        <v>116.12903225806451</v>
      </c>
      <c r="R114" s="12">
        <f t="shared" si="46"/>
        <v>38</v>
      </c>
      <c r="S114" s="21">
        <f t="shared" si="52"/>
        <v>0</v>
      </c>
      <c r="T114" s="13">
        <v>0</v>
      </c>
      <c r="U114" s="13">
        <f t="shared" si="61"/>
        <v>154.12903225806451</v>
      </c>
      <c r="V114" s="13">
        <f t="shared" si="47"/>
        <v>1973.7419354838712</v>
      </c>
      <c r="X114" s="13">
        <f t="shared" si="53"/>
        <v>1973.7419354838712</v>
      </c>
      <c r="Y114" s="12">
        <f t="shared" si="54"/>
        <v>127.25806451612904</v>
      </c>
      <c r="Z114" s="12">
        <f t="shared" si="48"/>
        <v>102</v>
      </c>
      <c r="AA114" s="1">
        <f t="shared" si="55"/>
        <v>0</v>
      </c>
      <c r="AB114" s="16">
        <f t="shared" si="63"/>
        <v>229.25806451612902</v>
      </c>
      <c r="AC114" s="16">
        <f t="shared" si="49"/>
        <v>2357.1290322580644</v>
      </c>
    </row>
    <row r="115" spans="1:29" x14ac:dyDescent="0.2">
      <c r="A115" s="10" t="s">
        <v>315</v>
      </c>
      <c r="B115" s="11">
        <f t="shared" si="56"/>
        <v>110</v>
      </c>
      <c r="C115" s="11" t="s">
        <v>1006</v>
      </c>
      <c r="D115" s="11" t="s">
        <v>51</v>
      </c>
      <c r="E115" s="19" t="s">
        <v>581</v>
      </c>
      <c r="F115" s="22">
        <v>42960</v>
      </c>
      <c r="G115" s="11">
        <v>23</v>
      </c>
      <c r="H115" s="13">
        <f t="shared" si="43"/>
        <v>3709.6774193548385</v>
      </c>
      <c r="I115" s="13">
        <f t="shared" si="50"/>
        <v>0</v>
      </c>
      <c r="J115" s="13">
        <f t="shared" si="44"/>
        <v>185.48387096774195</v>
      </c>
      <c r="L115" s="13">
        <f t="shared" si="51"/>
        <v>593.54838709677415</v>
      </c>
      <c r="N115" s="13">
        <f t="shared" si="64"/>
        <v>3668.1290322580644</v>
      </c>
      <c r="P115" s="13">
        <f t="shared" si="65"/>
        <v>8156.8387096774186</v>
      </c>
      <c r="Q115" s="12">
        <f t="shared" si="45"/>
        <v>445.16129032258061</v>
      </c>
      <c r="R115" s="12">
        <f t="shared" si="46"/>
        <v>143</v>
      </c>
      <c r="S115" s="21">
        <f t="shared" si="52"/>
        <v>175</v>
      </c>
      <c r="T115" s="13">
        <v>0</v>
      </c>
      <c r="U115" s="13">
        <f t="shared" si="61"/>
        <v>763.16129032258061</v>
      </c>
      <c r="V115" s="13">
        <f t="shared" si="47"/>
        <v>7393.6774193548381</v>
      </c>
      <c r="X115" s="13">
        <f t="shared" si="53"/>
        <v>7393.6774193548381</v>
      </c>
      <c r="Y115" s="12">
        <f t="shared" si="54"/>
        <v>487.82258064516128</v>
      </c>
      <c r="Z115" s="12">
        <f t="shared" si="48"/>
        <v>388</v>
      </c>
      <c r="AA115" s="1">
        <f t="shared" si="55"/>
        <v>0</v>
      </c>
      <c r="AB115" s="16">
        <f t="shared" si="63"/>
        <v>875.82258064516122</v>
      </c>
      <c r="AC115" s="16">
        <f t="shared" si="49"/>
        <v>9032.6612903225796</v>
      </c>
    </row>
    <row r="116" spans="1:29" x14ac:dyDescent="0.2">
      <c r="A116" s="10" t="s">
        <v>315</v>
      </c>
      <c r="B116" s="11">
        <f t="shared" si="56"/>
        <v>111</v>
      </c>
      <c r="C116" s="52" t="s">
        <v>1007</v>
      </c>
      <c r="D116" s="11" t="s">
        <v>51</v>
      </c>
      <c r="E116" s="19" t="s">
        <v>658</v>
      </c>
      <c r="F116" s="22">
        <v>42960</v>
      </c>
      <c r="G116" s="11">
        <v>7</v>
      </c>
      <c r="H116" s="13">
        <f t="shared" si="43"/>
        <v>1129.0322580645161</v>
      </c>
      <c r="I116" s="13">
        <f t="shared" si="50"/>
        <v>0</v>
      </c>
      <c r="J116" s="13">
        <f t="shared" si="44"/>
        <v>56.451612903225808</v>
      </c>
      <c r="L116" s="13">
        <f t="shared" si="51"/>
        <v>180.64516129032256</v>
      </c>
      <c r="N116" s="13">
        <f t="shared" si="64"/>
        <v>1116.3870967741934</v>
      </c>
      <c r="P116" s="13">
        <f t="shared" si="65"/>
        <v>2482.5161290322576</v>
      </c>
      <c r="Q116" s="12">
        <f t="shared" si="45"/>
        <v>135.48387096774192</v>
      </c>
      <c r="R116" s="12">
        <f t="shared" si="46"/>
        <v>44</v>
      </c>
      <c r="S116" s="21">
        <f t="shared" si="52"/>
        <v>0</v>
      </c>
      <c r="T116" s="13">
        <v>0</v>
      </c>
      <c r="U116" s="13">
        <f t="shared" si="61"/>
        <v>179.48387096774192</v>
      </c>
      <c r="V116" s="13">
        <f t="shared" si="47"/>
        <v>2303.0322580645156</v>
      </c>
      <c r="X116" s="13">
        <f t="shared" si="53"/>
        <v>2303.0322580645156</v>
      </c>
      <c r="Y116" s="12">
        <f t="shared" si="54"/>
        <v>148.46774193548387</v>
      </c>
      <c r="Z116" s="12">
        <f t="shared" si="48"/>
        <v>118</v>
      </c>
      <c r="AA116" s="1">
        <f t="shared" si="55"/>
        <v>0</v>
      </c>
      <c r="AB116" s="16">
        <f t="shared" si="63"/>
        <v>266.4677419354839</v>
      </c>
      <c r="AC116" s="16">
        <f t="shared" si="49"/>
        <v>2748.9838709677415</v>
      </c>
    </row>
    <row r="117" spans="1:29" x14ac:dyDescent="0.2">
      <c r="A117" s="10" t="s">
        <v>315</v>
      </c>
      <c r="B117" s="11">
        <f t="shared" si="56"/>
        <v>112</v>
      </c>
      <c r="C117" s="52" t="s">
        <v>1008</v>
      </c>
      <c r="D117" s="11" t="s">
        <v>51</v>
      </c>
      <c r="E117" s="19" t="s">
        <v>658</v>
      </c>
      <c r="F117" s="22">
        <v>42960</v>
      </c>
      <c r="G117" s="11">
        <v>7</v>
      </c>
      <c r="H117" s="13">
        <f t="shared" si="43"/>
        <v>1129.0322580645161</v>
      </c>
      <c r="I117" s="13">
        <f t="shared" si="50"/>
        <v>0</v>
      </c>
      <c r="J117" s="13">
        <f t="shared" si="44"/>
        <v>56.451612903225808</v>
      </c>
      <c r="L117" s="13">
        <f t="shared" si="51"/>
        <v>180.64516129032256</v>
      </c>
      <c r="N117" s="13">
        <f t="shared" si="64"/>
        <v>1116.3870967741934</v>
      </c>
      <c r="P117" s="13">
        <f t="shared" si="65"/>
        <v>2482.5161290322576</v>
      </c>
      <c r="Q117" s="12">
        <f t="shared" si="45"/>
        <v>135.48387096774192</v>
      </c>
      <c r="R117" s="12">
        <f t="shared" si="46"/>
        <v>44</v>
      </c>
      <c r="S117" s="21">
        <f t="shared" si="52"/>
        <v>0</v>
      </c>
      <c r="T117" s="13">
        <v>0</v>
      </c>
      <c r="U117" s="13">
        <f t="shared" si="61"/>
        <v>179.48387096774192</v>
      </c>
      <c r="V117" s="13">
        <f t="shared" si="47"/>
        <v>2303.0322580645156</v>
      </c>
      <c r="X117" s="13">
        <f t="shared" si="53"/>
        <v>2303.0322580645156</v>
      </c>
      <c r="Y117" s="12">
        <f t="shared" si="54"/>
        <v>148.46774193548387</v>
      </c>
      <c r="Z117" s="12">
        <f t="shared" si="48"/>
        <v>118</v>
      </c>
      <c r="AA117" s="1">
        <f t="shared" si="55"/>
        <v>0</v>
      </c>
      <c r="AB117" s="16">
        <f t="shared" si="63"/>
        <v>266.4677419354839</v>
      </c>
      <c r="AC117" s="16">
        <f t="shared" si="49"/>
        <v>2748.9838709677415</v>
      </c>
    </row>
    <row r="118" spans="1:29" x14ac:dyDescent="0.2">
      <c r="A118" s="10" t="s">
        <v>315</v>
      </c>
      <c r="B118" s="11">
        <f t="shared" si="56"/>
        <v>113</v>
      </c>
      <c r="C118" s="11" t="s">
        <v>1009</v>
      </c>
      <c r="D118" s="11" t="s">
        <v>51</v>
      </c>
      <c r="E118" s="19" t="s">
        <v>236</v>
      </c>
      <c r="F118" s="22">
        <v>42961</v>
      </c>
      <c r="G118" s="11">
        <v>16</v>
      </c>
      <c r="H118" s="13">
        <f t="shared" si="43"/>
        <v>2580.6451612903224</v>
      </c>
      <c r="I118" s="13">
        <f t="shared" si="50"/>
        <v>0</v>
      </c>
      <c r="J118" s="13">
        <f t="shared" si="44"/>
        <v>129.03225806451613</v>
      </c>
      <c r="L118" s="13">
        <f t="shared" si="51"/>
        <v>412.90322580645159</v>
      </c>
      <c r="N118" s="13">
        <f>((1950+1000+0)/G$3)*G118</f>
        <v>1522.5806451612902</v>
      </c>
      <c r="P118" s="13">
        <f t="shared" si="65"/>
        <v>4645.1612903225805</v>
      </c>
      <c r="Q118" s="12">
        <f t="shared" si="45"/>
        <v>309.67741935483866</v>
      </c>
      <c r="R118" s="12">
        <f t="shared" si="46"/>
        <v>82</v>
      </c>
      <c r="S118" s="21">
        <f t="shared" si="52"/>
        <v>0</v>
      </c>
      <c r="T118" s="13">
        <v>0</v>
      </c>
      <c r="U118" s="13">
        <f t="shared" si="61"/>
        <v>391.67741935483866</v>
      </c>
      <c r="V118" s="13">
        <f t="shared" si="47"/>
        <v>4253.4838709677415</v>
      </c>
      <c r="X118" s="13">
        <f t="shared" si="53"/>
        <v>4253.4838709677415</v>
      </c>
      <c r="Y118" s="12">
        <f t="shared" si="54"/>
        <v>339.35483870967744</v>
      </c>
      <c r="Z118" s="12">
        <f t="shared" si="48"/>
        <v>221</v>
      </c>
      <c r="AA118" s="1">
        <f t="shared" si="55"/>
        <v>0</v>
      </c>
      <c r="AB118" s="16">
        <f t="shared" si="63"/>
        <v>560.35483870967744</v>
      </c>
      <c r="AC118" s="16">
        <f t="shared" si="49"/>
        <v>5205.5161290322576</v>
      </c>
    </row>
    <row r="119" spans="1:29" x14ac:dyDescent="0.2">
      <c r="A119" s="10" t="s">
        <v>315</v>
      </c>
      <c r="B119" s="11">
        <f t="shared" si="56"/>
        <v>114</v>
      </c>
      <c r="C119" s="11" t="s">
        <v>1010</v>
      </c>
      <c r="D119" s="11" t="s">
        <v>51</v>
      </c>
      <c r="E119" s="19" t="s">
        <v>658</v>
      </c>
      <c r="F119" s="22">
        <v>42961</v>
      </c>
      <c r="G119" s="11">
        <v>20</v>
      </c>
      <c r="H119" s="13">
        <f t="shared" si="43"/>
        <v>3225.8064516129029</v>
      </c>
      <c r="I119" s="13">
        <f t="shared" si="50"/>
        <v>0</v>
      </c>
      <c r="J119" s="13">
        <f t="shared" si="44"/>
        <v>161.29032258064515</v>
      </c>
      <c r="L119" s="13">
        <f t="shared" si="51"/>
        <v>516.12903225806451</v>
      </c>
      <c r="N119" s="13">
        <f t="shared" si="64"/>
        <v>3189.6774193548385</v>
      </c>
      <c r="P119" s="13">
        <f t="shared" si="65"/>
        <v>7092.9032258064508</v>
      </c>
      <c r="Q119" s="12">
        <f t="shared" si="45"/>
        <v>387.09677419354836</v>
      </c>
      <c r="R119" s="12">
        <f t="shared" si="46"/>
        <v>125</v>
      </c>
      <c r="S119" s="21">
        <f t="shared" si="52"/>
        <v>0</v>
      </c>
      <c r="T119" s="13">
        <v>0</v>
      </c>
      <c r="U119" s="13">
        <f t="shared" si="61"/>
        <v>512.0967741935483</v>
      </c>
      <c r="V119" s="13">
        <f t="shared" si="47"/>
        <v>6580.8064516129025</v>
      </c>
      <c r="X119" s="13">
        <f t="shared" si="53"/>
        <v>6580.8064516129025</v>
      </c>
      <c r="Y119" s="12">
        <f t="shared" si="54"/>
        <v>424.19354838709677</v>
      </c>
      <c r="Z119" s="12">
        <f t="shared" si="48"/>
        <v>337</v>
      </c>
      <c r="AA119" s="1">
        <f t="shared" si="55"/>
        <v>0</v>
      </c>
      <c r="AB119" s="16">
        <f t="shared" si="63"/>
        <v>761.19354838709683</v>
      </c>
      <c r="AC119" s="16">
        <f t="shared" si="49"/>
        <v>7854.0967741935474</v>
      </c>
    </row>
    <row r="120" spans="1:29" x14ac:dyDescent="0.2">
      <c r="A120" s="10" t="s">
        <v>315</v>
      </c>
      <c r="B120" s="11">
        <f t="shared" si="56"/>
        <v>115</v>
      </c>
      <c r="C120" s="52" t="s">
        <v>1011</v>
      </c>
      <c r="D120" s="11" t="s">
        <v>51</v>
      </c>
      <c r="E120" s="19" t="s">
        <v>658</v>
      </c>
      <c r="F120" s="22">
        <v>42964</v>
      </c>
      <c r="G120" s="11">
        <v>2</v>
      </c>
      <c r="H120" s="13">
        <f t="shared" si="43"/>
        <v>322.58064516129031</v>
      </c>
      <c r="I120" s="13">
        <f t="shared" si="50"/>
        <v>0</v>
      </c>
      <c r="J120" s="13">
        <f t="shared" si="44"/>
        <v>16.129032258064516</v>
      </c>
      <c r="L120" s="13">
        <f t="shared" si="51"/>
        <v>51.612903225806448</v>
      </c>
      <c r="N120" s="13">
        <f t="shared" si="64"/>
        <v>318.96774193548384</v>
      </c>
      <c r="P120" s="13">
        <f t="shared" si="65"/>
        <v>709.29032258064512</v>
      </c>
      <c r="Q120" s="12">
        <f t="shared" si="45"/>
        <v>38.709677419354833</v>
      </c>
      <c r="R120" s="12">
        <f t="shared" si="46"/>
        <v>13</v>
      </c>
      <c r="S120" s="21">
        <f t="shared" si="52"/>
        <v>0</v>
      </c>
      <c r="T120" s="13">
        <v>0</v>
      </c>
      <c r="U120" s="13">
        <f t="shared" si="61"/>
        <v>51.709677419354833</v>
      </c>
      <c r="V120" s="13">
        <f t="shared" si="47"/>
        <v>657.58064516129025</v>
      </c>
      <c r="X120" s="13">
        <f t="shared" si="53"/>
        <v>657.58064516129025</v>
      </c>
      <c r="Y120" s="12">
        <f t="shared" si="54"/>
        <v>42.41935483870968</v>
      </c>
      <c r="Z120" s="12">
        <f t="shared" si="48"/>
        <v>34</v>
      </c>
      <c r="AA120" s="1">
        <f t="shared" si="55"/>
        <v>0</v>
      </c>
      <c r="AB120" s="16">
        <f t="shared" si="63"/>
        <v>76.41935483870968</v>
      </c>
      <c r="AC120" s="16">
        <f t="shared" si="49"/>
        <v>785.70967741935476</v>
      </c>
    </row>
    <row r="121" spans="1:29" x14ac:dyDescent="0.2">
      <c r="A121" s="10" t="s">
        <v>315</v>
      </c>
      <c r="B121" s="11">
        <f t="shared" si="56"/>
        <v>116</v>
      </c>
      <c r="C121" s="11" t="s">
        <v>1012</v>
      </c>
      <c r="D121" s="11" t="s">
        <v>51</v>
      </c>
      <c r="E121" s="19" t="s">
        <v>236</v>
      </c>
      <c r="F121" s="22">
        <v>42967</v>
      </c>
      <c r="G121" s="11">
        <v>13</v>
      </c>
      <c r="H121" s="13">
        <f t="shared" si="43"/>
        <v>2096.7741935483868</v>
      </c>
      <c r="I121" s="13">
        <f t="shared" si="50"/>
        <v>0</v>
      </c>
      <c r="J121" s="13">
        <f t="shared" si="44"/>
        <v>104.83870967741935</v>
      </c>
      <c r="L121" s="13">
        <f t="shared" si="51"/>
        <v>335.48387096774189</v>
      </c>
      <c r="N121" s="13">
        <f>((1950+2000)/G$3)*G121</f>
        <v>1656.4516129032259</v>
      </c>
      <c r="O121" s="13">
        <v>177</v>
      </c>
      <c r="P121" s="13">
        <f t="shared" si="65"/>
        <v>4370.5483870967746</v>
      </c>
      <c r="Q121" s="12">
        <f t="shared" si="45"/>
        <v>251.61290322580641</v>
      </c>
      <c r="R121" s="12">
        <f t="shared" si="46"/>
        <v>77</v>
      </c>
      <c r="S121" s="21">
        <f t="shared" si="52"/>
        <v>0</v>
      </c>
      <c r="T121" s="13">
        <v>0</v>
      </c>
      <c r="U121" s="13">
        <f t="shared" si="61"/>
        <v>328.61290322580641</v>
      </c>
      <c r="V121" s="13">
        <f t="shared" si="47"/>
        <v>4041.9354838709683</v>
      </c>
      <c r="X121" s="13">
        <f t="shared" si="53"/>
        <v>4041.9354838709683</v>
      </c>
      <c r="Y121" s="12">
        <f t="shared" si="54"/>
        <v>275.72580645161287</v>
      </c>
      <c r="Z121" s="12">
        <f t="shared" si="48"/>
        <v>208</v>
      </c>
      <c r="AA121" s="1">
        <f t="shared" si="55"/>
        <v>0</v>
      </c>
      <c r="AB121" s="16">
        <f t="shared" si="63"/>
        <v>483.72580645161287</v>
      </c>
      <c r="AC121" s="16">
        <f t="shared" si="49"/>
        <v>4854.2741935483873</v>
      </c>
    </row>
    <row r="122" spans="1:29" x14ac:dyDescent="0.2">
      <c r="A122" s="10" t="s">
        <v>315</v>
      </c>
      <c r="B122" s="11">
        <f t="shared" si="56"/>
        <v>117</v>
      </c>
      <c r="C122" s="52" t="s">
        <v>1013</v>
      </c>
      <c r="D122" s="11" t="s">
        <v>51</v>
      </c>
      <c r="E122" s="19" t="s">
        <v>236</v>
      </c>
      <c r="F122" s="22">
        <v>42967</v>
      </c>
      <c r="G122" s="11">
        <v>3</v>
      </c>
      <c r="H122" s="13">
        <f t="shared" si="43"/>
        <v>483.87096774193549</v>
      </c>
      <c r="I122" s="13">
        <f t="shared" si="50"/>
        <v>0</v>
      </c>
      <c r="J122" s="13">
        <f t="shared" si="44"/>
        <v>24.193548387096776</v>
      </c>
      <c r="L122" s="13">
        <f t="shared" si="51"/>
        <v>77.419354838709666</v>
      </c>
      <c r="N122" s="13">
        <f>((1950+2000)/G$3)*G122</f>
        <v>382.25806451612902</v>
      </c>
      <c r="P122" s="13">
        <f t="shared" si="65"/>
        <v>967.74193548387098</v>
      </c>
      <c r="Q122" s="12">
        <f t="shared" si="45"/>
        <v>58.064516129032256</v>
      </c>
      <c r="R122" s="12">
        <f t="shared" si="46"/>
        <v>17</v>
      </c>
      <c r="S122" s="21">
        <f t="shared" si="52"/>
        <v>0</v>
      </c>
      <c r="T122" s="13">
        <v>0</v>
      </c>
      <c r="U122" s="13">
        <f t="shared" si="61"/>
        <v>75.064516129032256</v>
      </c>
      <c r="V122" s="13">
        <f t="shared" si="47"/>
        <v>892.67741935483878</v>
      </c>
      <c r="X122" s="13">
        <f t="shared" si="53"/>
        <v>892.67741935483878</v>
      </c>
      <c r="Y122" s="12">
        <f t="shared" si="54"/>
        <v>63.62903225806452</v>
      </c>
      <c r="Z122" s="12">
        <f t="shared" si="48"/>
        <v>46</v>
      </c>
      <c r="AA122" s="1">
        <f t="shared" si="55"/>
        <v>0</v>
      </c>
      <c r="AB122" s="16">
        <f t="shared" si="63"/>
        <v>109.62903225806451</v>
      </c>
      <c r="AC122" s="16">
        <f t="shared" si="49"/>
        <v>1077.3709677419356</v>
      </c>
    </row>
    <row r="123" spans="1:29" x14ac:dyDescent="0.2">
      <c r="A123" s="10" t="s">
        <v>315</v>
      </c>
      <c r="B123" s="11">
        <f t="shared" si="56"/>
        <v>118</v>
      </c>
      <c r="C123" s="11" t="s">
        <v>1014</v>
      </c>
      <c r="D123" s="11" t="s">
        <v>51</v>
      </c>
      <c r="E123" s="19" t="s">
        <v>658</v>
      </c>
      <c r="F123" s="22">
        <v>42969</v>
      </c>
      <c r="G123" s="11">
        <v>9</v>
      </c>
      <c r="H123" s="13">
        <f t="shared" si="43"/>
        <v>1451.6129032258063</v>
      </c>
      <c r="I123" s="13">
        <f t="shared" si="50"/>
        <v>0</v>
      </c>
      <c r="J123" s="13">
        <f t="shared" si="44"/>
        <v>72.58064516129032</v>
      </c>
      <c r="L123" s="13">
        <f t="shared" si="51"/>
        <v>232.25806451612902</v>
      </c>
      <c r="N123" s="13">
        <f t="shared" si="64"/>
        <v>1435.3548387096773</v>
      </c>
      <c r="P123" s="13">
        <f t="shared" si="65"/>
        <v>3191.8064516129029</v>
      </c>
      <c r="Q123" s="12">
        <f t="shared" si="45"/>
        <v>174.19354838709677</v>
      </c>
      <c r="R123" s="12">
        <f t="shared" si="46"/>
        <v>56</v>
      </c>
      <c r="S123" s="21">
        <f t="shared" si="52"/>
        <v>0</v>
      </c>
      <c r="T123" s="13">
        <v>0</v>
      </c>
      <c r="U123" s="13">
        <f t="shared" si="61"/>
        <v>230.19354838709677</v>
      </c>
      <c r="V123" s="13">
        <f t="shared" si="47"/>
        <v>2961.6129032258063</v>
      </c>
      <c r="X123" s="13">
        <f t="shared" si="53"/>
        <v>2961.6129032258063</v>
      </c>
      <c r="Y123" s="12">
        <f t="shared" si="54"/>
        <v>190.88709677419354</v>
      </c>
      <c r="Z123" s="12">
        <f t="shared" si="48"/>
        <v>152</v>
      </c>
      <c r="AA123" s="1">
        <f t="shared" si="55"/>
        <v>0</v>
      </c>
      <c r="AB123" s="16">
        <f t="shared" si="63"/>
        <v>342.88709677419354</v>
      </c>
      <c r="AC123" s="16">
        <f t="shared" si="49"/>
        <v>3534.6935483870966</v>
      </c>
    </row>
    <row r="124" spans="1:29" x14ac:dyDescent="0.2">
      <c r="A124" s="10" t="s">
        <v>315</v>
      </c>
      <c r="B124" s="11">
        <f t="shared" si="56"/>
        <v>119</v>
      </c>
      <c r="C124" s="11" t="s">
        <v>1015</v>
      </c>
      <c r="D124" s="11" t="s">
        <v>51</v>
      </c>
      <c r="E124" s="19" t="s">
        <v>232</v>
      </c>
      <c r="F124" s="22">
        <v>42970</v>
      </c>
      <c r="G124" s="11">
        <v>11</v>
      </c>
      <c r="H124" s="13">
        <f t="shared" si="43"/>
        <v>1774.1935483870966</v>
      </c>
      <c r="I124" s="13">
        <f t="shared" si="50"/>
        <v>0</v>
      </c>
      <c r="J124" s="13">
        <f t="shared" si="44"/>
        <v>88.709677419354833</v>
      </c>
      <c r="L124" s="13">
        <f t="shared" si="51"/>
        <v>283.87096774193549</v>
      </c>
      <c r="N124" s="13">
        <f t="shared" si="64"/>
        <v>1754.3225806451612</v>
      </c>
      <c r="P124" s="13">
        <f t="shared" si="65"/>
        <v>3901.0967741935483</v>
      </c>
      <c r="Q124" s="12">
        <f t="shared" si="45"/>
        <v>212.90322580645159</v>
      </c>
      <c r="R124" s="12">
        <f t="shared" si="46"/>
        <v>69</v>
      </c>
      <c r="S124" s="21">
        <f t="shared" si="52"/>
        <v>0</v>
      </c>
      <c r="T124" s="13">
        <v>0</v>
      </c>
      <c r="U124" s="13">
        <f t="shared" si="61"/>
        <v>281.90322580645159</v>
      </c>
      <c r="V124" s="13">
        <f t="shared" si="47"/>
        <v>3619.1935483870966</v>
      </c>
      <c r="X124" s="13">
        <f t="shared" si="53"/>
        <v>3619.1935483870966</v>
      </c>
      <c r="Y124" s="12">
        <f t="shared" si="54"/>
        <v>233.3064516129032</v>
      </c>
      <c r="Z124" s="12">
        <f t="shared" si="48"/>
        <v>186</v>
      </c>
      <c r="AA124" s="1">
        <f t="shared" si="55"/>
        <v>0</v>
      </c>
      <c r="AB124" s="16">
        <f t="shared" si="63"/>
        <v>419.30645161290317</v>
      </c>
      <c r="AC124" s="16">
        <f t="shared" si="49"/>
        <v>4320.4032258064517</v>
      </c>
    </row>
    <row r="125" spans="1:29" x14ac:dyDescent="0.2">
      <c r="A125" s="10" t="s">
        <v>315</v>
      </c>
      <c r="B125" s="11">
        <f t="shared" si="56"/>
        <v>120</v>
      </c>
      <c r="C125" s="11" t="s">
        <v>1016</v>
      </c>
      <c r="D125" s="11" t="s">
        <v>51</v>
      </c>
      <c r="E125" s="19" t="s">
        <v>236</v>
      </c>
      <c r="F125" s="22">
        <v>42966</v>
      </c>
      <c r="G125" s="11">
        <v>15</v>
      </c>
      <c r="H125" s="13">
        <f t="shared" si="43"/>
        <v>2419.3548387096771</v>
      </c>
      <c r="I125" s="13">
        <f t="shared" si="50"/>
        <v>0</v>
      </c>
      <c r="J125" s="13">
        <f t="shared" si="44"/>
        <v>120.96774193548386</v>
      </c>
      <c r="L125" s="13">
        <f t="shared" si="51"/>
        <v>387.09677419354836</v>
      </c>
      <c r="N125" s="13">
        <f t="shared" ref="N125:N127" si="66">((1950+2000)/G$3)*G125</f>
        <v>1911.2903225806451</v>
      </c>
      <c r="O125" s="13">
        <v>210</v>
      </c>
      <c r="P125" s="13">
        <f t="shared" si="65"/>
        <v>5048.7096774193542</v>
      </c>
      <c r="Q125" s="12">
        <f t="shared" si="45"/>
        <v>290.32258064516122</v>
      </c>
      <c r="R125" s="12">
        <f t="shared" si="46"/>
        <v>89</v>
      </c>
      <c r="S125" s="21">
        <f t="shared" si="52"/>
        <v>0</v>
      </c>
      <c r="T125" s="13">
        <v>0</v>
      </c>
      <c r="U125" s="13">
        <f t="shared" si="61"/>
        <v>379.32258064516122</v>
      </c>
      <c r="V125" s="13">
        <f t="shared" si="47"/>
        <v>4669.3870967741932</v>
      </c>
      <c r="X125" s="13">
        <f t="shared" si="53"/>
        <v>4669.3870967741932</v>
      </c>
      <c r="Y125" s="12">
        <f t="shared" si="54"/>
        <v>318.14516129032256</v>
      </c>
      <c r="Z125" s="12">
        <f t="shared" si="48"/>
        <v>240</v>
      </c>
      <c r="AA125" s="1">
        <f t="shared" si="55"/>
        <v>0</v>
      </c>
      <c r="AB125" s="16">
        <f t="shared" si="63"/>
        <v>558.14516129032256</v>
      </c>
      <c r="AC125" s="16">
        <f t="shared" si="49"/>
        <v>5606.8548387096771</v>
      </c>
    </row>
    <row r="126" spans="1:29" x14ac:dyDescent="0.2">
      <c r="A126" s="10" t="s">
        <v>315</v>
      </c>
      <c r="B126" s="11">
        <f t="shared" si="56"/>
        <v>121</v>
      </c>
      <c r="C126" s="52" t="s">
        <v>1017</v>
      </c>
      <c r="D126" s="11" t="s">
        <v>51</v>
      </c>
      <c r="E126" s="19" t="s">
        <v>236</v>
      </c>
      <c r="F126" s="22">
        <v>42964</v>
      </c>
      <c r="G126" s="11">
        <v>2</v>
      </c>
      <c r="H126" s="13">
        <f t="shared" si="43"/>
        <v>322.58064516129031</v>
      </c>
      <c r="I126" s="13">
        <f t="shared" si="50"/>
        <v>0</v>
      </c>
      <c r="J126" s="13">
        <f t="shared" si="44"/>
        <v>16.129032258064516</v>
      </c>
      <c r="L126" s="13">
        <f t="shared" si="51"/>
        <v>51.612903225806448</v>
      </c>
      <c r="N126" s="13">
        <f t="shared" si="66"/>
        <v>254.83870967741936</v>
      </c>
      <c r="P126" s="13">
        <f t="shared" si="65"/>
        <v>645.16129032258061</v>
      </c>
      <c r="Q126" s="12">
        <f t="shared" si="45"/>
        <v>38.709677419354833</v>
      </c>
      <c r="R126" s="12">
        <f t="shared" si="46"/>
        <v>12</v>
      </c>
      <c r="S126" s="21">
        <f t="shared" si="52"/>
        <v>0</v>
      </c>
      <c r="T126" s="13">
        <v>0</v>
      </c>
      <c r="U126" s="13">
        <f t="shared" si="61"/>
        <v>50.709677419354833</v>
      </c>
      <c r="V126" s="13">
        <f t="shared" si="47"/>
        <v>594.45161290322574</v>
      </c>
      <c r="X126" s="13">
        <f t="shared" si="53"/>
        <v>594.45161290322574</v>
      </c>
      <c r="Y126" s="12">
        <f t="shared" si="54"/>
        <v>42.41935483870968</v>
      </c>
      <c r="Z126" s="12">
        <f t="shared" si="48"/>
        <v>31</v>
      </c>
      <c r="AA126" s="1">
        <f t="shared" si="55"/>
        <v>0</v>
      </c>
      <c r="AB126" s="16">
        <f t="shared" si="63"/>
        <v>73.41935483870968</v>
      </c>
      <c r="AC126" s="16">
        <f t="shared" si="49"/>
        <v>718.58064516129025</v>
      </c>
    </row>
    <row r="127" spans="1:29" x14ac:dyDescent="0.2">
      <c r="A127" s="10" t="s">
        <v>315</v>
      </c>
      <c r="B127" s="11">
        <f t="shared" si="56"/>
        <v>122</v>
      </c>
      <c r="C127" s="52" t="s">
        <v>1018</v>
      </c>
      <c r="D127" s="11" t="s">
        <v>51</v>
      </c>
      <c r="E127" s="19" t="s">
        <v>236</v>
      </c>
      <c r="F127" s="22">
        <v>42964</v>
      </c>
      <c r="G127" s="11">
        <v>4</v>
      </c>
      <c r="H127" s="13">
        <f t="shared" si="43"/>
        <v>645.16129032258061</v>
      </c>
      <c r="I127" s="13">
        <f t="shared" si="50"/>
        <v>0</v>
      </c>
      <c r="J127" s="13">
        <f t="shared" si="44"/>
        <v>32.258064516129032</v>
      </c>
      <c r="L127" s="13">
        <f t="shared" si="51"/>
        <v>103.2258064516129</v>
      </c>
      <c r="N127" s="13">
        <f t="shared" si="66"/>
        <v>509.67741935483872</v>
      </c>
      <c r="P127" s="13">
        <f t="shared" si="65"/>
        <v>1290.3225806451612</v>
      </c>
      <c r="Q127" s="12">
        <f t="shared" si="45"/>
        <v>77.419354838709666</v>
      </c>
      <c r="R127" s="12">
        <f t="shared" si="46"/>
        <v>23</v>
      </c>
      <c r="S127" s="21">
        <f t="shared" si="52"/>
        <v>0</v>
      </c>
      <c r="T127" s="13">
        <v>0</v>
      </c>
      <c r="U127" s="13">
        <f t="shared" si="61"/>
        <v>100.41935483870967</v>
      </c>
      <c r="V127" s="13">
        <f t="shared" si="47"/>
        <v>1189.9032258064515</v>
      </c>
      <c r="X127" s="13">
        <f t="shared" si="53"/>
        <v>1189.9032258064515</v>
      </c>
      <c r="Y127" s="12">
        <f t="shared" si="54"/>
        <v>84.838709677419359</v>
      </c>
      <c r="Z127" s="12">
        <f t="shared" si="48"/>
        <v>62</v>
      </c>
      <c r="AA127" s="1">
        <f t="shared" si="55"/>
        <v>0</v>
      </c>
      <c r="AB127" s="16">
        <f t="shared" si="63"/>
        <v>146.83870967741936</v>
      </c>
      <c r="AC127" s="16">
        <f t="shared" si="49"/>
        <v>1437.1612903225805</v>
      </c>
    </row>
    <row r="128" spans="1:29" x14ac:dyDescent="0.2">
      <c r="A128" s="10" t="s">
        <v>315</v>
      </c>
      <c r="B128" s="11">
        <f t="shared" si="56"/>
        <v>123</v>
      </c>
      <c r="C128" s="52" t="s">
        <v>1019</v>
      </c>
      <c r="D128" s="11" t="s">
        <v>51</v>
      </c>
      <c r="E128" s="19" t="s">
        <v>658</v>
      </c>
      <c r="F128" s="22">
        <v>42965</v>
      </c>
      <c r="G128" s="11">
        <v>6</v>
      </c>
      <c r="H128" s="13">
        <f t="shared" si="43"/>
        <v>967.74193548387098</v>
      </c>
      <c r="I128" s="13">
        <f t="shared" si="50"/>
        <v>0</v>
      </c>
      <c r="J128" s="13">
        <f t="shared" si="44"/>
        <v>48.387096774193552</v>
      </c>
      <c r="L128" s="13">
        <f t="shared" si="51"/>
        <v>154.83870967741933</v>
      </c>
      <c r="N128" s="13">
        <f t="shared" si="64"/>
        <v>956.90322580645147</v>
      </c>
      <c r="P128" s="13">
        <f t="shared" si="65"/>
        <v>2127.8709677419356</v>
      </c>
      <c r="Q128" s="12">
        <f t="shared" si="45"/>
        <v>116.12903225806451</v>
      </c>
      <c r="R128" s="12">
        <f t="shared" si="46"/>
        <v>38</v>
      </c>
      <c r="S128" s="21">
        <f t="shared" si="52"/>
        <v>0</v>
      </c>
      <c r="T128" s="13">
        <v>0</v>
      </c>
      <c r="U128" s="13">
        <f t="shared" si="61"/>
        <v>154.12903225806451</v>
      </c>
      <c r="V128" s="13">
        <f t="shared" si="47"/>
        <v>1973.7419354838712</v>
      </c>
      <c r="X128" s="13">
        <f t="shared" si="53"/>
        <v>1973.7419354838712</v>
      </c>
      <c r="Y128" s="12">
        <f t="shared" si="54"/>
        <v>127.25806451612904</v>
      </c>
      <c r="Z128" s="12">
        <f t="shared" si="48"/>
        <v>102</v>
      </c>
      <c r="AA128" s="1">
        <f t="shared" si="55"/>
        <v>0</v>
      </c>
      <c r="AB128" s="16">
        <f t="shared" si="63"/>
        <v>229.25806451612902</v>
      </c>
      <c r="AC128" s="16">
        <f t="shared" si="49"/>
        <v>2357.1290322580644</v>
      </c>
    </row>
    <row r="129" spans="1:29" x14ac:dyDescent="0.2">
      <c r="A129" s="10" t="s">
        <v>315</v>
      </c>
      <c r="B129" s="11">
        <f t="shared" si="56"/>
        <v>124</v>
      </c>
      <c r="C129" s="11" t="s">
        <v>1020</v>
      </c>
      <c r="D129" s="11" t="s">
        <v>51</v>
      </c>
      <c r="E129" s="19" t="s">
        <v>658</v>
      </c>
      <c r="F129" s="22">
        <v>42966</v>
      </c>
      <c r="G129" s="11">
        <v>10</v>
      </c>
      <c r="H129" s="13">
        <f t="shared" si="43"/>
        <v>1612.9032258064515</v>
      </c>
      <c r="I129" s="13">
        <f t="shared" si="50"/>
        <v>0</v>
      </c>
      <c r="J129" s="13">
        <f t="shared" si="44"/>
        <v>80.645161290322577</v>
      </c>
      <c r="L129" s="13">
        <f t="shared" si="51"/>
        <v>258.06451612903226</v>
      </c>
      <c r="N129" s="13">
        <f t="shared" si="64"/>
        <v>1594.8387096774193</v>
      </c>
      <c r="P129" s="13">
        <f t="shared" si="65"/>
        <v>3546.4516129032254</v>
      </c>
      <c r="Q129" s="12">
        <f t="shared" si="45"/>
        <v>193.54838709677418</v>
      </c>
      <c r="R129" s="12">
        <f t="shared" si="46"/>
        <v>63</v>
      </c>
      <c r="S129" s="21">
        <f t="shared" si="52"/>
        <v>0</v>
      </c>
      <c r="T129" s="13">
        <v>0</v>
      </c>
      <c r="U129" s="13">
        <f t="shared" si="61"/>
        <v>256.54838709677415</v>
      </c>
      <c r="V129" s="13">
        <f t="shared" si="47"/>
        <v>3289.9032258064512</v>
      </c>
      <c r="X129" s="13">
        <f t="shared" si="53"/>
        <v>3289.9032258064512</v>
      </c>
      <c r="Y129" s="12">
        <f t="shared" si="54"/>
        <v>212.09677419354838</v>
      </c>
      <c r="Z129" s="12">
        <f t="shared" si="48"/>
        <v>169</v>
      </c>
      <c r="AA129" s="1">
        <f t="shared" si="55"/>
        <v>0</v>
      </c>
      <c r="AB129" s="16">
        <f t="shared" si="63"/>
        <v>381.09677419354841</v>
      </c>
      <c r="AC129" s="16">
        <f t="shared" si="49"/>
        <v>3927.5483870967737</v>
      </c>
    </row>
    <row r="130" spans="1:29" x14ac:dyDescent="0.2">
      <c r="A130" s="10" t="s">
        <v>315</v>
      </c>
      <c r="B130" s="11">
        <f t="shared" si="56"/>
        <v>125</v>
      </c>
      <c r="C130" s="11" t="s">
        <v>1021</v>
      </c>
      <c r="D130" s="11" t="s">
        <v>51</v>
      </c>
      <c r="E130" s="19" t="s">
        <v>658</v>
      </c>
      <c r="F130" s="22">
        <v>42966</v>
      </c>
      <c r="G130" s="11">
        <v>12</v>
      </c>
      <c r="H130" s="13">
        <f t="shared" si="43"/>
        <v>1935.483870967742</v>
      </c>
      <c r="I130" s="13">
        <f t="shared" si="50"/>
        <v>0</v>
      </c>
      <c r="J130" s="13">
        <f t="shared" si="44"/>
        <v>96.774193548387103</v>
      </c>
      <c r="L130" s="13">
        <f t="shared" si="51"/>
        <v>309.67741935483866</v>
      </c>
      <c r="N130" s="13">
        <f t="shared" si="64"/>
        <v>1913.8064516129029</v>
      </c>
      <c r="O130" s="13">
        <v>161</v>
      </c>
      <c r="P130" s="13">
        <f t="shared" si="65"/>
        <v>4416.7419354838712</v>
      </c>
      <c r="Q130" s="12">
        <f t="shared" si="45"/>
        <v>232.25806451612902</v>
      </c>
      <c r="R130" s="12">
        <f t="shared" si="46"/>
        <v>78</v>
      </c>
      <c r="S130" s="21">
        <f t="shared" si="52"/>
        <v>0</v>
      </c>
      <c r="T130" s="13">
        <v>0</v>
      </c>
      <c r="U130" s="13">
        <f t="shared" si="61"/>
        <v>310.25806451612902</v>
      </c>
      <c r="V130" s="13">
        <f t="shared" si="47"/>
        <v>4106.4838709677424</v>
      </c>
      <c r="X130" s="13">
        <f t="shared" si="53"/>
        <v>4106.4838709677424</v>
      </c>
      <c r="Y130" s="12">
        <f t="shared" si="54"/>
        <v>254.51612903225808</v>
      </c>
      <c r="Z130" s="12">
        <f t="shared" si="48"/>
        <v>210</v>
      </c>
      <c r="AA130" s="1">
        <f t="shared" si="55"/>
        <v>0</v>
      </c>
      <c r="AB130" s="16">
        <f t="shared" si="63"/>
        <v>464.51612903225805</v>
      </c>
      <c r="AC130" s="16">
        <f t="shared" si="49"/>
        <v>4881.2580645161288</v>
      </c>
    </row>
    <row r="131" spans="1:29" x14ac:dyDescent="0.2">
      <c r="A131" s="10" t="s">
        <v>315</v>
      </c>
      <c r="B131" s="11">
        <f t="shared" si="56"/>
        <v>126</v>
      </c>
      <c r="C131" s="11" t="s">
        <v>1022</v>
      </c>
      <c r="D131" s="11" t="s">
        <v>51</v>
      </c>
      <c r="E131" s="19" t="s">
        <v>236</v>
      </c>
      <c r="F131" s="22">
        <v>42971</v>
      </c>
      <c r="G131" s="11">
        <v>8</v>
      </c>
      <c r="H131" s="13">
        <f t="shared" si="43"/>
        <v>1290.3225806451612</v>
      </c>
      <c r="I131" s="13">
        <f t="shared" si="50"/>
        <v>0</v>
      </c>
      <c r="J131" s="13">
        <f t="shared" si="44"/>
        <v>64.516129032258064</v>
      </c>
      <c r="L131" s="13">
        <f t="shared" si="51"/>
        <v>206.45161290322579</v>
      </c>
      <c r="N131" s="13">
        <f t="shared" ref="N131" si="67">((1950+2000)/G$3)*G131</f>
        <v>1019.3548387096774</v>
      </c>
      <c r="P131" s="13">
        <f t="shared" si="65"/>
        <v>2580.6451612903224</v>
      </c>
      <c r="Q131" s="12">
        <f t="shared" si="45"/>
        <v>154.83870967741933</v>
      </c>
      <c r="R131" s="12">
        <f t="shared" si="46"/>
        <v>46</v>
      </c>
      <c r="S131" s="21">
        <f t="shared" si="52"/>
        <v>0</v>
      </c>
      <c r="T131" s="13">
        <v>0</v>
      </c>
      <c r="U131" s="13">
        <f t="shared" si="61"/>
        <v>200.83870967741933</v>
      </c>
      <c r="V131" s="13">
        <f t="shared" si="47"/>
        <v>2379.8064516129029</v>
      </c>
      <c r="X131" s="13">
        <f t="shared" si="53"/>
        <v>2379.8064516129029</v>
      </c>
      <c r="Y131" s="12">
        <f t="shared" si="54"/>
        <v>169.67741935483872</v>
      </c>
      <c r="Z131" s="12">
        <f t="shared" si="48"/>
        <v>123</v>
      </c>
      <c r="AA131" s="1">
        <f t="shared" si="55"/>
        <v>0</v>
      </c>
      <c r="AB131" s="16">
        <f t="shared" si="63"/>
        <v>292.67741935483872</v>
      </c>
      <c r="AC131" s="16">
        <f t="shared" si="49"/>
        <v>2873.322580645161</v>
      </c>
    </row>
    <row r="132" spans="1:29" x14ac:dyDescent="0.2">
      <c r="A132" s="10" t="s">
        <v>315</v>
      </c>
      <c r="B132" s="11">
        <f t="shared" si="56"/>
        <v>127</v>
      </c>
      <c r="C132" s="11" t="s">
        <v>1023</v>
      </c>
      <c r="D132" s="11" t="s">
        <v>51</v>
      </c>
      <c r="E132" s="19" t="s">
        <v>658</v>
      </c>
      <c r="F132" s="22" t="s">
        <v>1025</v>
      </c>
      <c r="G132" s="11">
        <v>9</v>
      </c>
      <c r="H132" s="13">
        <f t="shared" si="43"/>
        <v>1451.6129032258063</v>
      </c>
      <c r="I132" s="13">
        <f t="shared" si="50"/>
        <v>0</v>
      </c>
      <c r="J132" s="13">
        <f t="shared" si="44"/>
        <v>72.58064516129032</v>
      </c>
      <c r="L132" s="13">
        <f t="shared" si="51"/>
        <v>232.25806451612902</v>
      </c>
      <c r="N132" s="13">
        <f t="shared" si="64"/>
        <v>1435.3548387096773</v>
      </c>
      <c r="P132" s="13">
        <f t="shared" si="65"/>
        <v>3191.8064516129029</v>
      </c>
      <c r="Q132" s="12">
        <f t="shared" si="45"/>
        <v>174.19354838709677</v>
      </c>
      <c r="R132" s="12">
        <f t="shared" si="46"/>
        <v>56</v>
      </c>
      <c r="S132" s="21">
        <f t="shared" si="52"/>
        <v>0</v>
      </c>
      <c r="T132" s="13">
        <v>0</v>
      </c>
      <c r="U132" s="13">
        <f t="shared" si="61"/>
        <v>230.19354838709677</v>
      </c>
      <c r="V132" s="13">
        <f t="shared" si="47"/>
        <v>2961.6129032258063</v>
      </c>
      <c r="X132" s="13">
        <f t="shared" si="53"/>
        <v>2961.6129032258063</v>
      </c>
      <c r="Y132" s="12">
        <f t="shared" si="54"/>
        <v>190.88709677419354</v>
      </c>
      <c r="Z132" s="12">
        <f t="shared" si="48"/>
        <v>152</v>
      </c>
      <c r="AA132" s="1">
        <f t="shared" si="55"/>
        <v>0</v>
      </c>
      <c r="AB132" s="16">
        <f t="shared" si="63"/>
        <v>342.88709677419354</v>
      </c>
      <c r="AC132" s="16">
        <f t="shared" si="49"/>
        <v>3534.6935483870966</v>
      </c>
    </row>
    <row r="133" spans="1:29" x14ac:dyDescent="0.2">
      <c r="A133" s="10" t="s">
        <v>315</v>
      </c>
      <c r="B133" s="11">
        <f t="shared" si="56"/>
        <v>128</v>
      </c>
      <c r="C133" s="11" t="s">
        <v>1024</v>
      </c>
      <c r="D133" s="11" t="s">
        <v>51</v>
      </c>
      <c r="E133" s="19" t="s">
        <v>236</v>
      </c>
      <c r="F133" s="22" t="s">
        <v>1026</v>
      </c>
      <c r="G133" s="11">
        <v>3</v>
      </c>
      <c r="H133" s="13">
        <f t="shared" si="43"/>
        <v>483.87096774193549</v>
      </c>
      <c r="I133" s="13">
        <f t="shared" si="50"/>
        <v>0</v>
      </c>
      <c r="J133" s="13">
        <f t="shared" si="44"/>
        <v>24.193548387096776</v>
      </c>
      <c r="L133" s="13">
        <f t="shared" si="51"/>
        <v>77.419354838709666</v>
      </c>
      <c r="N133" s="13">
        <f>((1950+1000+0)/G$3)*G133</f>
        <v>285.48387096774195</v>
      </c>
      <c r="P133" s="13">
        <f t="shared" si="65"/>
        <v>870.9677419354839</v>
      </c>
      <c r="Q133" s="12">
        <f t="shared" si="45"/>
        <v>58.064516129032256</v>
      </c>
      <c r="R133" s="12">
        <f t="shared" si="46"/>
        <v>16</v>
      </c>
      <c r="S133" s="21">
        <f t="shared" si="52"/>
        <v>0</v>
      </c>
      <c r="T133" s="13">
        <v>0</v>
      </c>
      <c r="U133" s="13">
        <f t="shared" si="61"/>
        <v>74.064516129032256</v>
      </c>
      <c r="V133" s="13">
        <f t="shared" si="47"/>
        <v>796.9032258064517</v>
      </c>
      <c r="X133" s="13">
        <f t="shared" si="53"/>
        <v>796.9032258064517</v>
      </c>
      <c r="Y133" s="12">
        <f t="shared" si="54"/>
        <v>63.62903225806452</v>
      </c>
      <c r="Z133" s="12">
        <f t="shared" si="48"/>
        <v>42</v>
      </c>
      <c r="AA133" s="1">
        <f t="shared" si="55"/>
        <v>0</v>
      </c>
      <c r="AB133" s="16">
        <f t="shared" si="63"/>
        <v>105.62903225806451</v>
      </c>
      <c r="AC133" s="16">
        <f t="shared" si="49"/>
        <v>976.59677419354841</v>
      </c>
    </row>
    <row r="134" spans="1:29" x14ac:dyDescent="0.2">
      <c r="A134" s="10" t="s">
        <v>32</v>
      </c>
      <c r="B134" s="11">
        <f t="shared" si="56"/>
        <v>129</v>
      </c>
      <c r="C134" s="11" t="s">
        <v>30</v>
      </c>
      <c r="D134" s="19" t="s">
        <v>50</v>
      </c>
      <c r="E134" s="19" t="s">
        <v>237</v>
      </c>
      <c r="F134" s="20">
        <v>42161</v>
      </c>
      <c r="G134" s="11">
        <v>36</v>
      </c>
      <c r="H134" s="13">
        <f t="shared" ref="H134:H197" si="68">(5000/G$3)*G134</f>
        <v>5806.4516129032254</v>
      </c>
      <c r="I134" s="13">
        <f t="shared" si="50"/>
        <v>0</v>
      </c>
      <c r="J134" s="13">
        <f>(H134+I134)*5%</f>
        <v>290.32258064516128</v>
      </c>
      <c r="L134" s="13">
        <f>((800+800)/G$3)*G134</f>
        <v>1858.0645161290322</v>
      </c>
      <c r="N134" s="13">
        <f>((3391+2279+2341)/G$3)*G134</f>
        <v>9303.0967741935492</v>
      </c>
      <c r="P134" s="13">
        <f t="shared" ref="P134" si="69">SUM(H134:O134)</f>
        <v>17257.93548387097</v>
      </c>
      <c r="Q134" s="12">
        <f t="shared" ref="Q134:Q197" si="70">(H134+I134)*12%</f>
        <v>696.77419354838707</v>
      </c>
      <c r="R134" s="12">
        <f t="shared" ref="R134" si="71">ROUNDUP((P134*1.75%),0)</f>
        <v>303</v>
      </c>
      <c r="S134" s="21">
        <v>0</v>
      </c>
      <c r="T134" s="13">
        <v>0</v>
      </c>
      <c r="U134" s="13">
        <f t="shared" ref="U134" si="72">SUM(Q134:T134)</f>
        <v>999.77419354838707</v>
      </c>
      <c r="V134" s="13">
        <f t="shared" ref="V134:V197" si="73">P134-U134</f>
        <v>16258.161290322583</v>
      </c>
      <c r="X134" s="13">
        <f t="shared" si="53"/>
        <v>16258.161290322583</v>
      </c>
      <c r="Y134" s="12">
        <f t="shared" si="54"/>
        <v>763.54838709677415</v>
      </c>
      <c r="Z134" s="12">
        <f t="shared" ref="Z134:Z197" si="74">CEILING((P134)*4.75%,1)</f>
        <v>820</v>
      </c>
      <c r="AA134" s="1">
        <f t="shared" si="55"/>
        <v>0</v>
      </c>
      <c r="AB134" s="16">
        <f t="shared" si="63"/>
        <v>1583.5483870967741</v>
      </c>
      <c r="AC134" s="16">
        <f t="shared" ref="AC134:AC197" si="75">P134+AB134</f>
        <v>18841.483870967742</v>
      </c>
    </row>
    <row r="135" spans="1:29" x14ac:dyDescent="0.2">
      <c r="A135" s="10" t="s">
        <v>37</v>
      </c>
      <c r="B135" s="11">
        <f t="shared" si="56"/>
        <v>130</v>
      </c>
      <c r="C135" s="11" t="s">
        <v>33</v>
      </c>
      <c r="D135" s="19" t="s">
        <v>50</v>
      </c>
      <c r="E135" s="19" t="s">
        <v>235</v>
      </c>
      <c r="F135" s="20">
        <v>42195</v>
      </c>
      <c r="G135" s="11">
        <v>35</v>
      </c>
      <c r="H135" s="13">
        <f t="shared" si="68"/>
        <v>5645.1612903225805</v>
      </c>
      <c r="I135" s="13">
        <f t="shared" ref="I135:I198" si="76">((0)/G$3)*G135</f>
        <v>0</v>
      </c>
      <c r="J135" s="13">
        <f t="shared" ref="J135:J198" si="77">(H135+I135)*5%</f>
        <v>282.25806451612902</v>
      </c>
      <c r="L135" s="13">
        <f>((800)/G$3)*G135</f>
        <v>903.22580645161281</v>
      </c>
      <c r="N135" s="13">
        <f>((1950+2484+509+1883)/G$3)*G135</f>
        <v>7706.7741935483873</v>
      </c>
      <c r="P135" s="13">
        <f t="shared" si="41"/>
        <v>14537.419354838708</v>
      </c>
      <c r="Q135" s="12">
        <f t="shared" si="70"/>
        <v>677.41935483870964</v>
      </c>
      <c r="R135" s="12">
        <f>ROUNDUP(((P135-O135)*1.75%),0)</f>
        <v>255</v>
      </c>
      <c r="S135" s="21">
        <v>0</v>
      </c>
      <c r="T135" s="13">
        <v>0</v>
      </c>
      <c r="U135" s="13">
        <f t="shared" ref="U135:U140" si="78">SUM(Q135:T135)</f>
        <v>932.41935483870964</v>
      </c>
      <c r="V135" s="13">
        <f t="shared" si="73"/>
        <v>13604.999999999998</v>
      </c>
      <c r="X135" s="13">
        <f t="shared" ref="X135:X258" si="79">V135-W135</f>
        <v>13604.999999999998</v>
      </c>
      <c r="Y135" s="12">
        <f t="shared" ref="Y135:Y198" si="80">(H135+I135)*13.15%</f>
        <v>742.33870967741939</v>
      </c>
      <c r="Z135" s="12">
        <f t="shared" si="74"/>
        <v>691</v>
      </c>
      <c r="AA135" s="1">
        <f t="shared" ref="AA135:AA267" si="81">T135*3</f>
        <v>0</v>
      </c>
      <c r="AB135" s="16">
        <f t="shared" ref="AB135:AB140" si="82">SUM(Y135:AA135)</f>
        <v>1433.3387096774195</v>
      </c>
      <c r="AC135" s="16">
        <f t="shared" si="75"/>
        <v>15970.758064516129</v>
      </c>
    </row>
    <row r="136" spans="1:29" x14ac:dyDescent="0.2">
      <c r="A136" s="10" t="s">
        <v>38</v>
      </c>
      <c r="B136" s="11">
        <f t="shared" ref="B136:B199" si="83">B135+1</f>
        <v>131</v>
      </c>
      <c r="C136" s="11" t="s">
        <v>34</v>
      </c>
      <c r="D136" s="19" t="s">
        <v>50</v>
      </c>
      <c r="E136" s="19" t="s">
        <v>232</v>
      </c>
      <c r="F136" s="20">
        <v>42205</v>
      </c>
      <c r="G136" s="11">
        <v>32</v>
      </c>
      <c r="H136" s="13">
        <f t="shared" si="68"/>
        <v>5161.2903225806449</v>
      </c>
      <c r="I136" s="13">
        <f t="shared" si="76"/>
        <v>0</v>
      </c>
      <c r="J136" s="13">
        <f t="shared" si="77"/>
        <v>258.06451612903226</v>
      </c>
      <c r="L136" s="13">
        <f>((800+800)/G$3)*G136</f>
        <v>1651.6129032258063</v>
      </c>
      <c r="N136" s="13">
        <f>((1950+2484+5816+2890)/G$3)*G136</f>
        <v>13563.870967741936</v>
      </c>
      <c r="P136" s="13">
        <f t="shared" si="41"/>
        <v>20634.838709677417</v>
      </c>
      <c r="Q136" s="12">
        <f t="shared" si="70"/>
        <v>619.35483870967732</v>
      </c>
      <c r="R136" s="12">
        <f t="shared" ref="R136:R247" si="84">ROUNDUP((P136*1.75%),0)</f>
        <v>362</v>
      </c>
      <c r="S136" s="21">
        <v>0</v>
      </c>
      <c r="T136" s="13">
        <v>0</v>
      </c>
      <c r="U136" s="13">
        <f t="shared" si="78"/>
        <v>981.35483870967732</v>
      </c>
      <c r="V136" s="13">
        <f t="shared" si="73"/>
        <v>19653.483870967739</v>
      </c>
      <c r="X136" s="13">
        <f t="shared" si="79"/>
        <v>19653.483870967739</v>
      </c>
      <c r="Y136" s="12">
        <f t="shared" si="80"/>
        <v>678.70967741935488</v>
      </c>
      <c r="Z136" s="12">
        <f t="shared" si="74"/>
        <v>981</v>
      </c>
      <c r="AA136" s="1">
        <f t="shared" si="81"/>
        <v>0</v>
      </c>
      <c r="AB136" s="16">
        <f t="shared" si="82"/>
        <v>1659.7096774193549</v>
      </c>
      <c r="AC136" s="16">
        <f t="shared" si="75"/>
        <v>22294.548387096773</v>
      </c>
    </row>
    <row r="137" spans="1:29" x14ac:dyDescent="0.2">
      <c r="A137" s="10" t="s">
        <v>41</v>
      </c>
      <c r="B137" s="11">
        <f t="shared" si="83"/>
        <v>132</v>
      </c>
      <c r="C137" s="11" t="s">
        <v>39</v>
      </c>
      <c r="D137" s="19" t="s">
        <v>50</v>
      </c>
      <c r="E137" s="19" t="s">
        <v>234</v>
      </c>
      <c r="F137" s="20">
        <v>42261</v>
      </c>
      <c r="G137" s="11">
        <v>36</v>
      </c>
      <c r="H137" s="13">
        <f t="shared" si="68"/>
        <v>5806.4516129032254</v>
      </c>
      <c r="I137" s="13">
        <f t="shared" si="76"/>
        <v>0</v>
      </c>
      <c r="J137" s="13">
        <f t="shared" si="77"/>
        <v>290.32258064516128</v>
      </c>
      <c r="L137" s="13">
        <f t="shared" ref="L137:L200" si="85">((800)/G$3)*G137</f>
        <v>929.0322580645161</v>
      </c>
      <c r="N137" s="13">
        <f>((1950+2484+1016+0)/G$3)*G137</f>
        <v>6329.0322580645161</v>
      </c>
      <c r="P137" s="13">
        <f t="shared" si="41"/>
        <v>13354.838709677419</v>
      </c>
      <c r="Q137" s="12">
        <f t="shared" si="70"/>
        <v>696.77419354838707</v>
      </c>
      <c r="R137" s="12">
        <f t="shared" si="84"/>
        <v>234</v>
      </c>
      <c r="S137" s="21">
        <v>0</v>
      </c>
      <c r="T137" s="13">
        <v>0</v>
      </c>
      <c r="U137" s="13">
        <f t="shared" si="78"/>
        <v>930.77419354838707</v>
      </c>
      <c r="V137" s="13">
        <f t="shared" si="73"/>
        <v>12424.064516129032</v>
      </c>
      <c r="X137" s="13">
        <f t="shared" si="79"/>
        <v>12424.064516129032</v>
      </c>
      <c r="Y137" s="12">
        <f t="shared" si="80"/>
        <v>763.54838709677415</v>
      </c>
      <c r="Z137" s="12">
        <f t="shared" si="74"/>
        <v>635</v>
      </c>
      <c r="AA137" s="1">
        <f t="shared" si="81"/>
        <v>0</v>
      </c>
      <c r="AB137" s="16">
        <f t="shared" si="82"/>
        <v>1398.5483870967741</v>
      </c>
      <c r="AC137" s="16">
        <f t="shared" si="75"/>
        <v>14753.387096774193</v>
      </c>
    </row>
    <row r="138" spans="1:29" x14ac:dyDescent="0.2">
      <c r="A138" s="10" t="s">
        <v>43</v>
      </c>
      <c r="B138" s="11">
        <f t="shared" si="83"/>
        <v>133</v>
      </c>
      <c r="C138" s="11" t="s">
        <v>489</v>
      </c>
      <c r="D138" s="19" t="s">
        <v>50</v>
      </c>
      <c r="E138" s="19" t="s">
        <v>237</v>
      </c>
      <c r="F138" s="20">
        <v>42278</v>
      </c>
      <c r="G138" s="11">
        <v>34</v>
      </c>
      <c r="H138" s="13">
        <f t="shared" si="68"/>
        <v>5483.8709677419356</v>
      </c>
      <c r="I138" s="13">
        <f t="shared" si="76"/>
        <v>0</v>
      </c>
      <c r="J138" s="13">
        <f t="shared" si="77"/>
        <v>274.19354838709677</v>
      </c>
      <c r="L138" s="13">
        <f t="shared" si="85"/>
        <v>877.41935483870964</v>
      </c>
      <c r="N138" s="13">
        <f>((1950+2484+509+1069+1984+0)/G$3)*G138</f>
        <v>8769.8064516129034</v>
      </c>
      <c r="P138" s="13">
        <f t="shared" si="41"/>
        <v>15405.290322580644</v>
      </c>
      <c r="Q138" s="12">
        <f t="shared" si="70"/>
        <v>658.0645161290322</v>
      </c>
      <c r="R138" s="12">
        <f t="shared" si="84"/>
        <v>270</v>
      </c>
      <c r="S138" s="21">
        <v>0</v>
      </c>
      <c r="T138" s="13">
        <v>0</v>
      </c>
      <c r="U138" s="13">
        <f t="shared" si="78"/>
        <v>928.0645161290322</v>
      </c>
      <c r="V138" s="13">
        <f t="shared" si="73"/>
        <v>14477.225806451612</v>
      </c>
      <c r="X138" s="13">
        <f t="shared" si="79"/>
        <v>14477.225806451612</v>
      </c>
      <c r="Y138" s="12">
        <f t="shared" si="80"/>
        <v>721.12903225806451</v>
      </c>
      <c r="Z138" s="12">
        <f t="shared" si="74"/>
        <v>732</v>
      </c>
      <c r="AA138" s="1">
        <f t="shared" si="81"/>
        <v>0</v>
      </c>
      <c r="AB138" s="16">
        <f t="shared" si="82"/>
        <v>1453.1290322580644</v>
      </c>
      <c r="AC138" s="16">
        <f t="shared" si="75"/>
        <v>16858.419354838708</v>
      </c>
    </row>
    <row r="139" spans="1:29" x14ac:dyDescent="0.2">
      <c r="A139" s="10" t="s">
        <v>56</v>
      </c>
      <c r="B139" s="11">
        <f t="shared" si="83"/>
        <v>134</v>
      </c>
      <c r="C139" s="11" t="s">
        <v>46</v>
      </c>
      <c r="D139" s="11" t="s">
        <v>50</v>
      </c>
      <c r="E139" s="19" t="s">
        <v>237</v>
      </c>
      <c r="F139" s="22">
        <v>42348</v>
      </c>
      <c r="G139" s="11">
        <v>32</v>
      </c>
      <c r="H139" s="13">
        <f t="shared" si="68"/>
        <v>5161.2903225806449</v>
      </c>
      <c r="I139" s="13">
        <f t="shared" si="76"/>
        <v>0</v>
      </c>
      <c r="J139" s="13">
        <f t="shared" si="77"/>
        <v>258.06451612903226</v>
      </c>
      <c r="L139" s="13">
        <f t="shared" si="85"/>
        <v>825.80645161290317</v>
      </c>
      <c r="N139" s="13">
        <f>((8505+1443+1916+0)/G$3)*G139</f>
        <v>12246.709677419354</v>
      </c>
      <c r="P139" s="13">
        <f t="shared" si="41"/>
        <v>18491.870967741936</v>
      </c>
      <c r="Q139" s="12">
        <f t="shared" si="70"/>
        <v>619.35483870967732</v>
      </c>
      <c r="R139" s="12">
        <f t="shared" si="84"/>
        <v>324</v>
      </c>
      <c r="S139" s="21">
        <v>0</v>
      </c>
      <c r="T139" s="13">
        <v>0</v>
      </c>
      <c r="U139" s="13">
        <f t="shared" si="78"/>
        <v>943.35483870967732</v>
      </c>
      <c r="V139" s="13">
        <f t="shared" si="73"/>
        <v>17548.516129032258</v>
      </c>
      <c r="X139" s="13">
        <f t="shared" si="79"/>
        <v>17548.516129032258</v>
      </c>
      <c r="Y139" s="12">
        <f t="shared" si="80"/>
        <v>678.70967741935488</v>
      </c>
      <c r="Z139" s="12">
        <f t="shared" si="74"/>
        <v>879</v>
      </c>
      <c r="AA139" s="1">
        <f t="shared" si="81"/>
        <v>0</v>
      </c>
      <c r="AB139" s="16">
        <f t="shared" si="82"/>
        <v>1557.7096774193549</v>
      </c>
      <c r="AC139" s="16">
        <f t="shared" si="75"/>
        <v>20049.580645161292</v>
      </c>
    </row>
    <row r="140" spans="1:29" x14ac:dyDescent="0.2">
      <c r="A140" s="10" t="s">
        <v>57</v>
      </c>
      <c r="B140" s="11">
        <f t="shared" si="83"/>
        <v>135</v>
      </c>
      <c r="C140" s="11" t="s">
        <v>47</v>
      </c>
      <c r="D140" s="11" t="s">
        <v>50</v>
      </c>
      <c r="E140" s="19" t="s">
        <v>234</v>
      </c>
      <c r="F140" s="22">
        <v>42348</v>
      </c>
      <c r="G140" s="11">
        <v>23</v>
      </c>
      <c r="H140" s="13">
        <f t="shared" si="68"/>
        <v>3709.6774193548385</v>
      </c>
      <c r="I140" s="13">
        <f t="shared" si="76"/>
        <v>0</v>
      </c>
      <c r="J140" s="13">
        <f t="shared" si="77"/>
        <v>185.48387096774195</v>
      </c>
      <c r="L140" s="13">
        <f t="shared" si="85"/>
        <v>593.54838709677415</v>
      </c>
      <c r="N140" s="13">
        <f>((1950+2484+1016+0)/G$3)*G140</f>
        <v>4043.5483870967741</v>
      </c>
      <c r="P140" s="13">
        <f t="shared" si="41"/>
        <v>8532.2580645161288</v>
      </c>
      <c r="Q140" s="12">
        <f t="shared" si="70"/>
        <v>445.16129032258061</v>
      </c>
      <c r="R140" s="12">
        <f t="shared" si="84"/>
        <v>150</v>
      </c>
      <c r="S140" s="21">
        <v>0</v>
      </c>
      <c r="T140" s="13">
        <v>0</v>
      </c>
      <c r="U140" s="13">
        <f t="shared" si="78"/>
        <v>595.16129032258061</v>
      </c>
      <c r="V140" s="13">
        <f t="shared" si="73"/>
        <v>7937.0967741935483</v>
      </c>
      <c r="X140" s="13">
        <f t="shared" si="79"/>
        <v>7937.0967741935483</v>
      </c>
      <c r="Y140" s="12">
        <f t="shared" si="80"/>
        <v>487.82258064516128</v>
      </c>
      <c r="Z140" s="12">
        <f t="shared" si="74"/>
        <v>406</v>
      </c>
      <c r="AA140" s="1">
        <f t="shared" si="81"/>
        <v>0</v>
      </c>
      <c r="AB140" s="16">
        <f t="shared" si="82"/>
        <v>893.82258064516122</v>
      </c>
      <c r="AC140" s="16">
        <f t="shared" si="75"/>
        <v>9426.0806451612898</v>
      </c>
    </row>
    <row r="141" spans="1:29" x14ac:dyDescent="0.2">
      <c r="A141" s="10" t="s">
        <v>105</v>
      </c>
      <c r="B141" s="11">
        <f t="shared" si="83"/>
        <v>136</v>
      </c>
      <c r="C141" s="11" t="s">
        <v>62</v>
      </c>
      <c r="D141" s="19" t="s">
        <v>50</v>
      </c>
      <c r="E141" s="19" t="s">
        <v>238</v>
      </c>
      <c r="F141" s="20">
        <v>42430</v>
      </c>
      <c r="G141" s="11">
        <v>35</v>
      </c>
      <c r="H141" s="13">
        <f t="shared" si="68"/>
        <v>5645.1612903225805</v>
      </c>
      <c r="I141" s="13">
        <f t="shared" si="76"/>
        <v>0</v>
      </c>
      <c r="J141" s="13">
        <f t="shared" si="77"/>
        <v>282.25806451612902</v>
      </c>
      <c r="L141" s="13">
        <f t="shared" si="85"/>
        <v>903.22580645161281</v>
      </c>
      <c r="N141" s="13">
        <f>((1950+1441+1043+1900-17)/G$3)*G141</f>
        <v>7132.0967741935483</v>
      </c>
      <c r="P141" s="13">
        <f t="shared" si="41"/>
        <v>13962.741935483871</v>
      </c>
      <c r="Q141" s="12">
        <f t="shared" si="70"/>
        <v>677.41935483870964</v>
      </c>
      <c r="R141" s="12">
        <f t="shared" si="84"/>
        <v>245</v>
      </c>
      <c r="S141" s="21">
        <v>0</v>
      </c>
      <c r="T141" s="13">
        <v>0</v>
      </c>
      <c r="U141" s="13">
        <f t="shared" ref="U141" si="86">SUM(Q141:T141)</f>
        <v>922.41935483870964</v>
      </c>
      <c r="V141" s="13">
        <f t="shared" si="73"/>
        <v>13040.322580645161</v>
      </c>
      <c r="X141" s="13">
        <f t="shared" si="79"/>
        <v>13040.322580645161</v>
      </c>
      <c r="Y141" s="12">
        <f t="shared" si="80"/>
        <v>742.33870967741939</v>
      </c>
      <c r="Z141" s="12">
        <f t="shared" si="74"/>
        <v>664</v>
      </c>
      <c r="AA141" s="1">
        <f t="shared" si="81"/>
        <v>0</v>
      </c>
      <c r="AB141" s="16">
        <f t="shared" ref="AB141" si="87">SUM(Y141:AA141)</f>
        <v>1406.3387096774195</v>
      </c>
      <c r="AC141" s="16">
        <f t="shared" si="75"/>
        <v>15369.080645161292</v>
      </c>
    </row>
    <row r="142" spans="1:29" x14ac:dyDescent="0.2">
      <c r="A142" s="10" t="s">
        <v>77</v>
      </c>
      <c r="B142" s="11">
        <f t="shared" si="83"/>
        <v>137</v>
      </c>
      <c r="C142" s="11" t="s">
        <v>64</v>
      </c>
      <c r="D142" s="19" t="s">
        <v>50</v>
      </c>
      <c r="E142" s="19" t="s">
        <v>239</v>
      </c>
      <c r="F142" s="20">
        <v>42461</v>
      </c>
      <c r="G142" s="11">
        <v>37</v>
      </c>
      <c r="H142" s="13">
        <f t="shared" si="68"/>
        <v>5967.7419354838703</v>
      </c>
      <c r="I142" s="13">
        <f t="shared" si="76"/>
        <v>0</v>
      </c>
      <c r="J142" s="13">
        <f t="shared" si="77"/>
        <v>298.38709677419354</v>
      </c>
      <c r="L142" s="13">
        <f t="shared" si="85"/>
        <v>954.83870967741927</v>
      </c>
      <c r="N142" s="13">
        <f>((1950+1441+1552+1934)/G$3)*G142</f>
        <v>8208.032258064517</v>
      </c>
      <c r="P142" s="13">
        <f t="shared" si="41"/>
        <v>15429</v>
      </c>
      <c r="Q142" s="12">
        <f t="shared" si="70"/>
        <v>716.1290322580644</v>
      </c>
      <c r="R142" s="12">
        <f t="shared" si="84"/>
        <v>271</v>
      </c>
      <c r="S142" s="21">
        <v>0</v>
      </c>
      <c r="T142" s="13">
        <v>0</v>
      </c>
      <c r="U142" s="13">
        <f t="shared" ref="U142:U146" si="88">SUM(Q142:T142)</f>
        <v>987.1290322580644</v>
      </c>
      <c r="V142" s="13">
        <f t="shared" si="73"/>
        <v>14441.870967741936</v>
      </c>
      <c r="X142" s="13">
        <f t="shared" si="79"/>
        <v>14441.870967741936</v>
      </c>
      <c r="Y142" s="12">
        <f t="shared" si="80"/>
        <v>784.75806451612902</v>
      </c>
      <c r="Z142" s="12">
        <f t="shared" si="74"/>
        <v>733</v>
      </c>
      <c r="AA142" s="1">
        <f t="shared" si="81"/>
        <v>0</v>
      </c>
      <c r="AB142" s="16">
        <f t="shared" ref="AB142:AB146" si="89">SUM(Y142:AA142)</f>
        <v>1517.758064516129</v>
      </c>
      <c r="AC142" s="16">
        <f t="shared" si="75"/>
        <v>16946.758064516129</v>
      </c>
    </row>
    <row r="143" spans="1:29" x14ac:dyDescent="0.2">
      <c r="A143" s="10" t="s">
        <v>78</v>
      </c>
      <c r="B143" s="11">
        <f t="shared" si="83"/>
        <v>138</v>
      </c>
      <c r="C143" s="11" t="s">
        <v>490</v>
      </c>
      <c r="D143" s="19" t="s">
        <v>50</v>
      </c>
      <c r="E143" s="19" t="s">
        <v>239</v>
      </c>
      <c r="F143" s="20">
        <v>42461</v>
      </c>
      <c r="G143" s="11">
        <v>30</v>
      </c>
      <c r="H143" s="13">
        <f t="shared" si="68"/>
        <v>4838.7096774193542</v>
      </c>
      <c r="I143" s="13">
        <f t="shared" si="76"/>
        <v>0</v>
      </c>
      <c r="J143" s="13">
        <f t="shared" si="77"/>
        <v>241.93548387096772</v>
      </c>
      <c r="L143" s="13">
        <f t="shared" si="85"/>
        <v>774.19354838709671</v>
      </c>
      <c r="N143" s="13">
        <f>((1950+1441+1552+1374)/G$3)*G143</f>
        <v>6113.2258064516127</v>
      </c>
      <c r="P143" s="13">
        <f t="shared" si="41"/>
        <v>11968.06451612903</v>
      </c>
      <c r="Q143" s="12">
        <f t="shared" si="70"/>
        <v>580.64516129032245</v>
      </c>
      <c r="R143" s="12">
        <f t="shared" si="84"/>
        <v>210</v>
      </c>
      <c r="S143" s="21">
        <v>0</v>
      </c>
      <c r="T143" s="13">
        <v>0</v>
      </c>
      <c r="U143" s="13">
        <f t="shared" si="88"/>
        <v>790.64516129032245</v>
      </c>
      <c r="V143" s="13">
        <f t="shared" si="73"/>
        <v>11177.419354838708</v>
      </c>
      <c r="X143" s="13">
        <f t="shared" si="79"/>
        <v>11177.419354838708</v>
      </c>
      <c r="Y143" s="12">
        <f t="shared" si="80"/>
        <v>636.29032258064512</v>
      </c>
      <c r="Z143" s="12">
        <f t="shared" si="74"/>
        <v>569</v>
      </c>
      <c r="AA143" s="1">
        <f t="shared" si="81"/>
        <v>0</v>
      </c>
      <c r="AB143" s="16">
        <f t="shared" si="89"/>
        <v>1205.2903225806451</v>
      </c>
      <c r="AC143" s="16">
        <f t="shared" si="75"/>
        <v>13173.354838709676</v>
      </c>
    </row>
    <row r="144" spans="1:29" x14ac:dyDescent="0.2">
      <c r="A144" s="10" t="s">
        <v>79</v>
      </c>
      <c r="B144" s="11">
        <f t="shared" si="83"/>
        <v>139</v>
      </c>
      <c r="C144" s="11" t="s">
        <v>65</v>
      </c>
      <c r="D144" s="19" t="s">
        <v>50</v>
      </c>
      <c r="E144" s="19" t="s">
        <v>240</v>
      </c>
      <c r="F144" s="20">
        <v>42461</v>
      </c>
      <c r="G144" s="11">
        <v>36</v>
      </c>
      <c r="H144" s="13">
        <f t="shared" si="68"/>
        <v>5806.4516129032254</v>
      </c>
      <c r="I144" s="13">
        <f t="shared" si="76"/>
        <v>0</v>
      </c>
      <c r="J144" s="13">
        <f t="shared" si="77"/>
        <v>290.32258064516128</v>
      </c>
      <c r="L144" s="13">
        <f t="shared" si="85"/>
        <v>929.0322580645161</v>
      </c>
      <c r="N144" s="13">
        <f>((1950+1441+2000)/G$3)*G144</f>
        <v>6260.5161290322585</v>
      </c>
      <c r="P144" s="13">
        <f t="shared" si="41"/>
        <v>13286.322580645161</v>
      </c>
      <c r="Q144" s="12">
        <f t="shared" si="70"/>
        <v>696.77419354838707</v>
      </c>
      <c r="R144" s="12">
        <f t="shared" si="84"/>
        <v>233</v>
      </c>
      <c r="S144" s="21">
        <v>0</v>
      </c>
      <c r="T144" s="13">
        <v>0</v>
      </c>
      <c r="U144" s="13">
        <f t="shared" si="88"/>
        <v>929.77419354838707</v>
      </c>
      <c r="V144" s="13">
        <f t="shared" si="73"/>
        <v>12356.548387096775</v>
      </c>
      <c r="X144" s="13">
        <f t="shared" si="79"/>
        <v>12356.548387096775</v>
      </c>
      <c r="Y144" s="12">
        <f t="shared" si="80"/>
        <v>763.54838709677415</v>
      </c>
      <c r="Z144" s="12">
        <f t="shared" si="74"/>
        <v>632</v>
      </c>
      <c r="AA144" s="1">
        <f t="shared" si="81"/>
        <v>0</v>
      </c>
      <c r="AB144" s="16">
        <f t="shared" si="89"/>
        <v>1395.5483870967741</v>
      </c>
      <c r="AC144" s="16">
        <f t="shared" si="75"/>
        <v>14681.870967741936</v>
      </c>
    </row>
    <row r="145" spans="1:29" x14ac:dyDescent="0.2">
      <c r="A145" s="10" t="s">
        <v>80</v>
      </c>
      <c r="B145" s="11">
        <f t="shared" si="83"/>
        <v>140</v>
      </c>
      <c r="C145" s="11" t="s">
        <v>485</v>
      </c>
      <c r="D145" s="19" t="s">
        <v>50</v>
      </c>
      <c r="E145" s="19" t="s">
        <v>484</v>
      </c>
      <c r="F145" s="20">
        <v>42461</v>
      </c>
      <c r="G145" s="11">
        <v>36</v>
      </c>
      <c r="H145" s="13">
        <f t="shared" si="68"/>
        <v>5806.4516129032254</v>
      </c>
      <c r="I145" s="13">
        <f t="shared" si="76"/>
        <v>0</v>
      </c>
      <c r="J145" s="13">
        <f t="shared" si="77"/>
        <v>290.32258064516128</v>
      </c>
      <c r="L145" s="13">
        <f t="shared" si="85"/>
        <v>929.0322580645161</v>
      </c>
      <c r="N145" s="13">
        <f>((1950+1441+1806)/G$3)*G145</f>
        <v>6035.2258064516136</v>
      </c>
      <c r="P145" s="13">
        <f t="shared" si="41"/>
        <v>13061.032258064515</v>
      </c>
      <c r="Q145" s="12">
        <f t="shared" si="70"/>
        <v>696.77419354838707</v>
      </c>
      <c r="R145" s="12">
        <f t="shared" si="84"/>
        <v>229</v>
      </c>
      <c r="S145" s="21">
        <v>0</v>
      </c>
      <c r="T145" s="13">
        <v>0</v>
      </c>
      <c r="U145" s="13">
        <f t="shared" si="88"/>
        <v>925.77419354838707</v>
      </c>
      <c r="V145" s="13">
        <f t="shared" si="73"/>
        <v>12135.258064516129</v>
      </c>
      <c r="X145" s="13">
        <f t="shared" si="79"/>
        <v>12135.258064516129</v>
      </c>
      <c r="Y145" s="12">
        <f t="shared" si="80"/>
        <v>763.54838709677415</v>
      </c>
      <c r="Z145" s="12">
        <f t="shared" si="74"/>
        <v>621</v>
      </c>
      <c r="AA145" s="1">
        <f t="shared" si="81"/>
        <v>0</v>
      </c>
      <c r="AB145" s="16">
        <f t="shared" si="89"/>
        <v>1384.5483870967741</v>
      </c>
      <c r="AC145" s="16">
        <f t="shared" si="75"/>
        <v>14445.58064516129</v>
      </c>
    </row>
    <row r="146" spans="1:29" x14ac:dyDescent="0.2">
      <c r="A146" s="10" t="s">
        <v>81</v>
      </c>
      <c r="B146" s="11">
        <f t="shared" si="83"/>
        <v>141</v>
      </c>
      <c r="C146" s="11" t="s">
        <v>66</v>
      </c>
      <c r="D146" s="19" t="s">
        <v>50</v>
      </c>
      <c r="E146" s="19" t="s">
        <v>484</v>
      </c>
      <c r="F146" s="20">
        <v>42461</v>
      </c>
      <c r="G146" s="11">
        <v>36</v>
      </c>
      <c r="H146" s="13">
        <f t="shared" si="68"/>
        <v>5806.4516129032254</v>
      </c>
      <c r="I146" s="13">
        <f t="shared" si="76"/>
        <v>0</v>
      </c>
      <c r="J146" s="13">
        <f t="shared" si="77"/>
        <v>290.32258064516128</v>
      </c>
      <c r="L146" s="13">
        <f t="shared" si="85"/>
        <v>929.0322580645161</v>
      </c>
      <c r="N146" s="13">
        <f>((1950+1441+1806)/G$3)*G146</f>
        <v>6035.2258064516136</v>
      </c>
      <c r="P146" s="13">
        <f t="shared" si="41"/>
        <v>13061.032258064515</v>
      </c>
      <c r="Q146" s="12">
        <f t="shared" si="70"/>
        <v>696.77419354838707</v>
      </c>
      <c r="R146" s="12">
        <f t="shared" si="84"/>
        <v>229</v>
      </c>
      <c r="S146" s="21">
        <v>0</v>
      </c>
      <c r="T146" s="13">
        <v>0</v>
      </c>
      <c r="U146" s="13">
        <f t="shared" si="88"/>
        <v>925.77419354838707</v>
      </c>
      <c r="V146" s="13">
        <f t="shared" si="73"/>
        <v>12135.258064516129</v>
      </c>
      <c r="X146" s="13">
        <f t="shared" si="79"/>
        <v>12135.258064516129</v>
      </c>
      <c r="Y146" s="12">
        <f t="shared" si="80"/>
        <v>763.54838709677415</v>
      </c>
      <c r="Z146" s="12">
        <f t="shared" si="74"/>
        <v>621</v>
      </c>
      <c r="AA146" s="1">
        <f t="shared" si="81"/>
        <v>0</v>
      </c>
      <c r="AB146" s="16">
        <f t="shared" si="89"/>
        <v>1384.5483870967741</v>
      </c>
      <c r="AC146" s="16">
        <f t="shared" si="75"/>
        <v>14445.58064516129</v>
      </c>
    </row>
    <row r="147" spans="1:29" x14ac:dyDescent="0.2">
      <c r="A147" s="10" t="s">
        <v>89</v>
      </c>
      <c r="B147" s="11">
        <f t="shared" si="83"/>
        <v>142</v>
      </c>
      <c r="C147" s="11" t="s">
        <v>74</v>
      </c>
      <c r="D147" s="19" t="s">
        <v>50</v>
      </c>
      <c r="E147" s="19" t="s">
        <v>240</v>
      </c>
      <c r="F147" s="20">
        <v>42492</v>
      </c>
      <c r="G147" s="11">
        <v>36</v>
      </c>
      <c r="H147" s="13">
        <f t="shared" si="68"/>
        <v>5806.4516129032254</v>
      </c>
      <c r="I147" s="13">
        <f t="shared" si="76"/>
        <v>0</v>
      </c>
      <c r="J147" s="13">
        <f t="shared" si="77"/>
        <v>290.32258064516128</v>
      </c>
      <c r="L147" s="13">
        <f t="shared" si="85"/>
        <v>929.0322580645161</v>
      </c>
      <c r="N147" s="13">
        <f>((1950+1441+3588+3328)/G$3)*G147</f>
        <v>11969.41935483871</v>
      </c>
      <c r="P147" s="13">
        <f t="shared" si="41"/>
        <v>18995.225806451614</v>
      </c>
      <c r="Q147" s="12">
        <f t="shared" si="70"/>
        <v>696.77419354838707</v>
      </c>
      <c r="R147" s="12">
        <f t="shared" si="84"/>
        <v>333</v>
      </c>
      <c r="S147" s="21">
        <v>0</v>
      </c>
      <c r="T147" s="13">
        <v>0</v>
      </c>
      <c r="U147" s="13">
        <f t="shared" ref="U147:U148" si="90">SUM(Q147:T147)</f>
        <v>1029.7741935483871</v>
      </c>
      <c r="V147" s="13">
        <f t="shared" si="73"/>
        <v>17965.451612903227</v>
      </c>
      <c r="X147" s="13">
        <f t="shared" si="79"/>
        <v>17965.451612903227</v>
      </c>
      <c r="Y147" s="12">
        <f t="shared" si="80"/>
        <v>763.54838709677415</v>
      </c>
      <c r="Z147" s="12">
        <f t="shared" si="74"/>
        <v>903</v>
      </c>
      <c r="AA147" s="1">
        <f t="shared" si="81"/>
        <v>0</v>
      </c>
      <c r="AB147" s="16">
        <f t="shared" ref="AB147:AB148" si="91">SUM(Y147:AA147)</f>
        <v>1666.5483870967741</v>
      </c>
      <c r="AC147" s="16">
        <f t="shared" si="75"/>
        <v>20661.774193548386</v>
      </c>
    </row>
    <row r="148" spans="1:29" x14ac:dyDescent="0.2">
      <c r="A148" s="10" t="s">
        <v>90</v>
      </c>
      <c r="B148" s="11">
        <f t="shared" si="83"/>
        <v>143</v>
      </c>
      <c r="C148" s="11" t="s">
        <v>233</v>
      </c>
      <c r="D148" s="19" t="s">
        <v>50</v>
      </c>
      <c r="E148" s="19" t="s">
        <v>240</v>
      </c>
      <c r="F148" s="20">
        <v>42492</v>
      </c>
      <c r="G148" s="11">
        <v>36</v>
      </c>
      <c r="H148" s="13">
        <f t="shared" si="68"/>
        <v>5806.4516129032254</v>
      </c>
      <c r="I148" s="13">
        <f t="shared" si="76"/>
        <v>0</v>
      </c>
      <c r="J148" s="13">
        <f t="shared" si="77"/>
        <v>290.32258064516128</v>
      </c>
      <c r="L148" s="13">
        <f t="shared" si="85"/>
        <v>929.0322580645161</v>
      </c>
      <c r="N148" s="13">
        <f>((1950+1441+3588+3328)/G$3)*G148</f>
        <v>11969.41935483871</v>
      </c>
      <c r="P148" s="13">
        <f t="shared" si="41"/>
        <v>18995.225806451614</v>
      </c>
      <c r="Q148" s="12">
        <f t="shared" si="70"/>
        <v>696.77419354838707</v>
      </c>
      <c r="R148" s="12">
        <f t="shared" si="84"/>
        <v>333</v>
      </c>
      <c r="S148" s="21">
        <v>0</v>
      </c>
      <c r="T148" s="13">
        <v>0</v>
      </c>
      <c r="U148" s="13">
        <f t="shared" si="90"/>
        <v>1029.7741935483871</v>
      </c>
      <c r="V148" s="13">
        <f t="shared" si="73"/>
        <v>17965.451612903227</v>
      </c>
      <c r="X148" s="13">
        <f t="shared" si="79"/>
        <v>17965.451612903227</v>
      </c>
      <c r="Y148" s="12">
        <f t="shared" si="80"/>
        <v>763.54838709677415</v>
      </c>
      <c r="Z148" s="12">
        <f t="shared" si="74"/>
        <v>903</v>
      </c>
      <c r="AA148" s="1">
        <f t="shared" si="81"/>
        <v>0</v>
      </c>
      <c r="AB148" s="16">
        <f t="shared" si="91"/>
        <v>1666.5483870967741</v>
      </c>
      <c r="AC148" s="16">
        <f t="shared" si="75"/>
        <v>20661.774193548386</v>
      </c>
    </row>
    <row r="149" spans="1:29" x14ac:dyDescent="0.2">
      <c r="A149" s="10" t="s">
        <v>92</v>
      </c>
      <c r="B149" s="11">
        <f t="shared" si="83"/>
        <v>144</v>
      </c>
      <c r="C149" s="11" t="s">
        <v>72</v>
      </c>
      <c r="D149" s="19" t="s">
        <v>50</v>
      </c>
      <c r="E149" s="19" t="s">
        <v>484</v>
      </c>
      <c r="F149" s="20">
        <v>42491</v>
      </c>
      <c r="G149" s="11">
        <v>36</v>
      </c>
      <c r="H149" s="13">
        <f t="shared" si="68"/>
        <v>5806.4516129032254</v>
      </c>
      <c r="I149" s="13">
        <f t="shared" si="76"/>
        <v>0</v>
      </c>
      <c r="J149" s="13">
        <f t="shared" si="77"/>
        <v>290.32258064516128</v>
      </c>
      <c r="L149" s="13">
        <f t="shared" si="85"/>
        <v>929.0322580645161</v>
      </c>
      <c r="N149" s="13">
        <f>((1950+1441+1857)/G$3)*G149</f>
        <v>6094.4516129032254</v>
      </c>
      <c r="P149" s="13">
        <f t="shared" si="41"/>
        <v>13120.258064516129</v>
      </c>
      <c r="Q149" s="12">
        <f t="shared" si="70"/>
        <v>696.77419354838707</v>
      </c>
      <c r="R149" s="12">
        <f t="shared" si="84"/>
        <v>230</v>
      </c>
      <c r="S149" s="21">
        <v>0</v>
      </c>
      <c r="T149" s="13">
        <v>0</v>
      </c>
      <c r="U149" s="13">
        <f t="shared" ref="U149:U153" si="92">SUM(Q149:T149)</f>
        <v>926.77419354838707</v>
      </c>
      <c r="V149" s="13">
        <f t="shared" si="73"/>
        <v>12193.483870967742</v>
      </c>
      <c r="X149" s="13">
        <f t="shared" si="79"/>
        <v>12193.483870967742</v>
      </c>
      <c r="Y149" s="12">
        <f t="shared" si="80"/>
        <v>763.54838709677415</v>
      </c>
      <c r="Z149" s="12">
        <f t="shared" si="74"/>
        <v>624</v>
      </c>
      <c r="AA149" s="1">
        <f t="shared" si="81"/>
        <v>0</v>
      </c>
      <c r="AB149" s="16">
        <f t="shared" ref="AB149:AB153" si="93">SUM(Y149:AA149)</f>
        <v>1387.5483870967741</v>
      </c>
      <c r="AC149" s="16">
        <f t="shared" si="75"/>
        <v>14507.806451612903</v>
      </c>
    </row>
    <row r="150" spans="1:29" x14ac:dyDescent="0.2">
      <c r="A150" s="10" t="s">
        <v>332</v>
      </c>
      <c r="B150" s="11">
        <f t="shared" si="83"/>
        <v>145</v>
      </c>
      <c r="C150" s="11" t="s">
        <v>73</v>
      </c>
      <c r="D150" s="19" t="s">
        <v>50</v>
      </c>
      <c r="E150" s="19" t="s">
        <v>234</v>
      </c>
      <c r="F150" s="20">
        <v>42494</v>
      </c>
      <c r="G150" s="11">
        <v>36</v>
      </c>
      <c r="H150" s="13">
        <f t="shared" si="68"/>
        <v>5806.4516129032254</v>
      </c>
      <c r="I150" s="13">
        <f t="shared" si="76"/>
        <v>0</v>
      </c>
      <c r="J150" s="13">
        <f t="shared" si="77"/>
        <v>290.32258064516128</v>
      </c>
      <c r="L150" s="13">
        <f t="shared" si="85"/>
        <v>929.0322580645161</v>
      </c>
      <c r="N150" s="13">
        <f>((1950+1441+1043+814+0)/G$3)*G150</f>
        <v>6094.4516129032254</v>
      </c>
      <c r="P150" s="13">
        <f t="shared" si="41"/>
        <v>13120.258064516129</v>
      </c>
      <c r="Q150" s="12">
        <f t="shared" si="70"/>
        <v>696.77419354838707</v>
      </c>
      <c r="R150" s="12">
        <f t="shared" si="84"/>
        <v>230</v>
      </c>
      <c r="S150" s="21">
        <v>0</v>
      </c>
      <c r="T150" s="13">
        <v>0</v>
      </c>
      <c r="U150" s="13">
        <f t="shared" si="92"/>
        <v>926.77419354838707</v>
      </c>
      <c r="V150" s="13">
        <f t="shared" si="73"/>
        <v>12193.483870967742</v>
      </c>
      <c r="X150" s="13">
        <f t="shared" si="79"/>
        <v>12193.483870967742</v>
      </c>
      <c r="Y150" s="12">
        <f t="shared" si="80"/>
        <v>763.54838709677415</v>
      </c>
      <c r="Z150" s="12">
        <f t="shared" si="74"/>
        <v>624</v>
      </c>
      <c r="AA150" s="1">
        <f t="shared" si="81"/>
        <v>0</v>
      </c>
      <c r="AB150" s="16">
        <f t="shared" si="93"/>
        <v>1387.5483870967741</v>
      </c>
      <c r="AC150" s="16">
        <f t="shared" si="75"/>
        <v>14507.806451612903</v>
      </c>
    </row>
    <row r="151" spans="1:29" x14ac:dyDescent="0.2">
      <c r="A151" s="10" t="s">
        <v>101</v>
      </c>
      <c r="B151" s="11">
        <f t="shared" si="83"/>
        <v>146</v>
      </c>
      <c r="C151" s="11" t="s">
        <v>85</v>
      </c>
      <c r="D151" s="19" t="s">
        <v>50</v>
      </c>
      <c r="E151" s="19" t="s">
        <v>241</v>
      </c>
      <c r="F151" s="20">
        <v>42524</v>
      </c>
      <c r="G151" s="11">
        <v>34</v>
      </c>
      <c r="H151" s="13">
        <f t="shared" si="68"/>
        <v>5483.8709677419356</v>
      </c>
      <c r="I151" s="13">
        <f t="shared" si="76"/>
        <v>0</v>
      </c>
      <c r="J151" s="13">
        <f t="shared" si="77"/>
        <v>274.19354838709677</v>
      </c>
      <c r="L151" s="13">
        <f t="shared" si="85"/>
        <v>877.41935483870964</v>
      </c>
      <c r="N151" s="13">
        <f>((1950+1441+2290)/G$3)*G151</f>
        <v>6230.7741935483864</v>
      </c>
      <c r="P151" s="13">
        <f t="shared" si="41"/>
        <v>12866.258064516129</v>
      </c>
      <c r="Q151" s="12">
        <f t="shared" si="70"/>
        <v>658.0645161290322</v>
      </c>
      <c r="R151" s="12">
        <f t="shared" si="84"/>
        <v>226</v>
      </c>
      <c r="S151" s="21">
        <v>0</v>
      </c>
      <c r="T151" s="13">
        <v>0</v>
      </c>
      <c r="U151" s="13">
        <f t="shared" si="92"/>
        <v>884.0645161290322</v>
      </c>
      <c r="V151" s="13">
        <f t="shared" si="73"/>
        <v>11982.193548387097</v>
      </c>
      <c r="X151" s="13">
        <f t="shared" si="79"/>
        <v>11982.193548387097</v>
      </c>
      <c r="Y151" s="12">
        <f t="shared" si="80"/>
        <v>721.12903225806451</v>
      </c>
      <c r="Z151" s="12">
        <f t="shared" si="74"/>
        <v>612</v>
      </c>
      <c r="AA151" s="1">
        <f t="shared" si="81"/>
        <v>0</v>
      </c>
      <c r="AB151" s="16">
        <f t="shared" si="93"/>
        <v>1333.1290322580644</v>
      </c>
      <c r="AC151" s="16">
        <f t="shared" si="75"/>
        <v>14199.387096774193</v>
      </c>
    </row>
    <row r="152" spans="1:29" x14ac:dyDescent="0.2">
      <c r="A152" s="10" t="s">
        <v>102</v>
      </c>
      <c r="B152" s="11">
        <f t="shared" si="83"/>
        <v>147</v>
      </c>
      <c r="C152" s="11" t="s">
        <v>86</v>
      </c>
      <c r="D152" s="19" t="s">
        <v>50</v>
      </c>
      <c r="E152" s="19" t="s">
        <v>242</v>
      </c>
      <c r="F152" s="20">
        <v>42530</v>
      </c>
      <c r="G152" s="11">
        <v>35</v>
      </c>
      <c r="H152" s="13">
        <f t="shared" si="68"/>
        <v>5645.1612903225805</v>
      </c>
      <c r="I152" s="13">
        <f t="shared" si="76"/>
        <v>0</v>
      </c>
      <c r="J152" s="13">
        <f t="shared" si="77"/>
        <v>282.25806451612902</v>
      </c>
      <c r="L152" s="13">
        <f t="shared" si="85"/>
        <v>903.22580645161281</v>
      </c>
      <c r="N152" s="13">
        <f>((1950+1441+1806)/G$3)*G152</f>
        <v>5867.5806451612907</v>
      </c>
      <c r="P152" s="13">
        <f t="shared" si="41"/>
        <v>12698.225806451614</v>
      </c>
      <c r="Q152" s="12">
        <f t="shared" si="70"/>
        <v>677.41935483870964</v>
      </c>
      <c r="R152" s="12">
        <f t="shared" si="84"/>
        <v>223</v>
      </c>
      <c r="S152" s="21">
        <v>0</v>
      </c>
      <c r="T152" s="13">
        <v>0</v>
      </c>
      <c r="U152" s="13">
        <f t="shared" si="92"/>
        <v>900.41935483870964</v>
      </c>
      <c r="V152" s="13">
        <f t="shared" si="73"/>
        <v>11797.806451612903</v>
      </c>
      <c r="X152" s="13">
        <f t="shared" si="79"/>
        <v>11797.806451612903</v>
      </c>
      <c r="Y152" s="12">
        <f t="shared" si="80"/>
        <v>742.33870967741939</v>
      </c>
      <c r="Z152" s="12">
        <f t="shared" si="74"/>
        <v>604</v>
      </c>
      <c r="AA152" s="1">
        <f t="shared" si="81"/>
        <v>0</v>
      </c>
      <c r="AB152" s="16">
        <f t="shared" si="93"/>
        <v>1346.3387096774195</v>
      </c>
      <c r="AC152" s="16">
        <f t="shared" si="75"/>
        <v>14044.564516129034</v>
      </c>
    </row>
    <row r="153" spans="1:29" x14ac:dyDescent="0.2">
      <c r="A153" s="10" t="s">
        <v>103</v>
      </c>
      <c r="B153" s="11">
        <f t="shared" si="83"/>
        <v>148</v>
      </c>
      <c r="C153" s="17" t="s">
        <v>40</v>
      </c>
      <c r="D153" s="19" t="s">
        <v>50</v>
      </c>
      <c r="E153" s="19" t="s">
        <v>234</v>
      </c>
      <c r="F153" s="20">
        <v>42534</v>
      </c>
      <c r="G153" s="11">
        <v>37</v>
      </c>
      <c r="H153" s="13">
        <f t="shared" si="68"/>
        <v>5967.7419354838703</v>
      </c>
      <c r="I153" s="13">
        <f t="shared" si="76"/>
        <v>0</v>
      </c>
      <c r="J153" s="13">
        <f t="shared" si="77"/>
        <v>298.38709677419354</v>
      </c>
      <c r="L153" s="13">
        <f t="shared" si="85"/>
        <v>954.83870967741927</v>
      </c>
      <c r="N153" s="13">
        <f>((6266)/G$3)*G153</f>
        <v>7478.7741935483873</v>
      </c>
      <c r="O153" s="13">
        <v>895</v>
      </c>
      <c r="P153" s="13">
        <f t="shared" si="41"/>
        <v>15594.741935483871</v>
      </c>
      <c r="Q153" s="12">
        <f t="shared" si="70"/>
        <v>716.1290322580644</v>
      </c>
      <c r="R153" s="12">
        <f t="shared" si="84"/>
        <v>273</v>
      </c>
      <c r="S153" s="21">
        <v>0</v>
      </c>
      <c r="T153" s="13">
        <v>0</v>
      </c>
      <c r="U153" s="13">
        <f t="shared" si="92"/>
        <v>989.1290322580644</v>
      </c>
      <c r="V153" s="13">
        <f t="shared" si="73"/>
        <v>14605.612903225807</v>
      </c>
      <c r="W153" s="13">
        <v>879</v>
      </c>
      <c r="X153" s="13">
        <f t="shared" si="79"/>
        <v>13726.612903225807</v>
      </c>
      <c r="Y153" s="12">
        <f t="shared" si="80"/>
        <v>784.75806451612902</v>
      </c>
      <c r="Z153" s="12">
        <f t="shared" si="74"/>
        <v>741</v>
      </c>
      <c r="AA153" s="1">
        <f t="shared" si="81"/>
        <v>0</v>
      </c>
      <c r="AB153" s="16">
        <f t="shared" si="93"/>
        <v>1525.758064516129</v>
      </c>
      <c r="AC153" s="16">
        <f t="shared" si="75"/>
        <v>17120.5</v>
      </c>
    </row>
    <row r="154" spans="1:29" x14ac:dyDescent="0.2">
      <c r="A154" s="10" t="s">
        <v>117</v>
      </c>
      <c r="B154" s="11">
        <f t="shared" si="83"/>
        <v>149</v>
      </c>
      <c r="C154" s="11" t="s">
        <v>113</v>
      </c>
      <c r="D154" s="19" t="s">
        <v>50</v>
      </c>
      <c r="E154" s="19" t="s">
        <v>234</v>
      </c>
      <c r="F154" s="20">
        <v>42583</v>
      </c>
      <c r="G154" s="11">
        <v>37</v>
      </c>
      <c r="H154" s="13">
        <f t="shared" si="68"/>
        <v>5967.7419354838703</v>
      </c>
      <c r="I154" s="13">
        <f t="shared" si="76"/>
        <v>0</v>
      </c>
      <c r="J154" s="13">
        <f t="shared" si="77"/>
        <v>298.38709677419354</v>
      </c>
      <c r="L154" s="13">
        <f t="shared" si="85"/>
        <v>954.83870967741927</v>
      </c>
      <c r="N154" s="13">
        <f>((1950+1441+1043+814+0)/G$3)*G154</f>
        <v>6263.7419354838703</v>
      </c>
      <c r="P154" s="13">
        <f t="shared" si="41"/>
        <v>13484.709677419352</v>
      </c>
      <c r="Q154" s="12">
        <f t="shared" si="70"/>
        <v>716.1290322580644</v>
      </c>
      <c r="R154" s="12">
        <f t="shared" si="84"/>
        <v>236</v>
      </c>
      <c r="S154" s="21">
        <v>0</v>
      </c>
      <c r="T154" s="13">
        <v>0</v>
      </c>
      <c r="U154" s="13">
        <f t="shared" ref="U154:U156" si="94">SUM(Q154:T154)</f>
        <v>952.1290322580644</v>
      </c>
      <c r="V154" s="13">
        <f t="shared" si="73"/>
        <v>12532.580645161288</v>
      </c>
      <c r="X154" s="13">
        <f t="shared" si="79"/>
        <v>12532.580645161288</v>
      </c>
      <c r="Y154" s="12">
        <f t="shared" si="80"/>
        <v>784.75806451612902</v>
      </c>
      <c r="Z154" s="12">
        <f t="shared" si="74"/>
        <v>641</v>
      </c>
      <c r="AA154" s="1">
        <f t="shared" si="81"/>
        <v>0</v>
      </c>
      <c r="AB154" s="16">
        <f t="shared" ref="AB154:AB156" si="95">SUM(Y154:AA154)</f>
        <v>1425.758064516129</v>
      </c>
      <c r="AC154" s="16">
        <f t="shared" si="75"/>
        <v>14910.467741935481</v>
      </c>
    </row>
    <row r="155" spans="1:29" x14ac:dyDescent="0.2">
      <c r="A155" s="10" t="s">
        <v>118</v>
      </c>
      <c r="B155" s="11">
        <f t="shared" si="83"/>
        <v>150</v>
      </c>
      <c r="C155" s="11" t="s">
        <v>114</v>
      </c>
      <c r="D155" s="19" t="s">
        <v>50</v>
      </c>
      <c r="E155" s="19" t="s">
        <v>238</v>
      </c>
      <c r="F155" s="20">
        <v>42583</v>
      </c>
      <c r="G155" s="11">
        <v>36</v>
      </c>
      <c r="H155" s="13">
        <f t="shared" si="68"/>
        <v>5806.4516129032254</v>
      </c>
      <c r="I155" s="13">
        <f t="shared" si="76"/>
        <v>0</v>
      </c>
      <c r="J155" s="13">
        <f t="shared" si="77"/>
        <v>290.32258064516128</v>
      </c>
      <c r="L155" s="13">
        <f t="shared" si="85"/>
        <v>929.0322580645161</v>
      </c>
      <c r="N155" s="13">
        <f>((1950+1441+839)/G$3)*G155</f>
        <v>4912.2580645161288</v>
      </c>
      <c r="P155" s="13">
        <f t="shared" si="41"/>
        <v>11938.06451612903</v>
      </c>
      <c r="Q155" s="12">
        <f t="shared" si="70"/>
        <v>696.77419354838707</v>
      </c>
      <c r="R155" s="12">
        <f t="shared" si="84"/>
        <v>209</v>
      </c>
      <c r="S155" s="21">
        <v>0</v>
      </c>
      <c r="T155" s="13">
        <v>0</v>
      </c>
      <c r="U155" s="13">
        <f t="shared" si="94"/>
        <v>905.77419354838707</v>
      </c>
      <c r="V155" s="13">
        <f t="shared" si="73"/>
        <v>11032.290322580644</v>
      </c>
      <c r="X155" s="13">
        <f t="shared" si="79"/>
        <v>11032.290322580644</v>
      </c>
      <c r="Y155" s="12">
        <f t="shared" si="80"/>
        <v>763.54838709677415</v>
      </c>
      <c r="Z155" s="12">
        <f t="shared" si="74"/>
        <v>568</v>
      </c>
      <c r="AA155" s="1">
        <f t="shared" si="81"/>
        <v>0</v>
      </c>
      <c r="AB155" s="16">
        <f t="shared" si="95"/>
        <v>1331.5483870967741</v>
      </c>
      <c r="AC155" s="16">
        <f t="shared" si="75"/>
        <v>13269.612903225805</v>
      </c>
    </row>
    <row r="156" spans="1:29" x14ac:dyDescent="0.2">
      <c r="A156" s="10" t="s">
        <v>119</v>
      </c>
      <c r="B156" s="11">
        <f t="shared" si="83"/>
        <v>151</v>
      </c>
      <c r="C156" s="11" t="s">
        <v>480</v>
      </c>
      <c r="D156" s="19" t="s">
        <v>50</v>
      </c>
      <c r="E156" s="19" t="s">
        <v>484</v>
      </c>
      <c r="F156" s="20">
        <v>42583</v>
      </c>
      <c r="G156" s="11">
        <v>35</v>
      </c>
      <c r="H156" s="13">
        <f t="shared" si="68"/>
        <v>5645.1612903225805</v>
      </c>
      <c r="I156" s="13">
        <f t="shared" si="76"/>
        <v>0</v>
      </c>
      <c r="J156" s="13">
        <f t="shared" si="77"/>
        <v>282.25806451612902</v>
      </c>
      <c r="L156" s="13">
        <f t="shared" si="85"/>
        <v>903.22580645161281</v>
      </c>
      <c r="N156" s="13">
        <f>((1950+1441+1043+814+0)/G$3)*G156</f>
        <v>5925.1612903225805</v>
      </c>
      <c r="P156" s="13">
        <f t="shared" si="41"/>
        <v>12755.806451612902</v>
      </c>
      <c r="Q156" s="12">
        <f t="shared" si="70"/>
        <v>677.41935483870964</v>
      </c>
      <c r="R156" s="12">
        <f t="shared" si="84"/>
        <v>224</v>
      </c>
      <c r="S156" s="21">
        <v>0</v>
      </c>
      <c r="T156" s="13">
        <v>0</v>
      </c>
      <c r="U156" s="13">
        <f t="shared" si="94"/>
        <v>901.41935483870964</v>
      </c>
      <c r="V156" s="13">
        <f t="shared" si="73"/>
        <v>11854.387096774191</v>
      </c>
      <c r="X156" s="13">
        <f t="shared" si="79"/>
        <v>11854.387096774191</v>
      </c>
      <c r="Y156" s="12">
        <f t="shared" si="80"/>
        <v>742.33870967741939</v>
      </c>
      <c r="Z156" s="12">
        <f t="shared" si="74"/>
        <v>606</v>
      </c>
      <c r="AA156" s="1">
        <f t="shared" si="81"/>
        <v>0</v>
      </c>
      <c r="AB156" s="16">
        <f t="shared" si="95"/>
        <v>1348.3387096774195</v>
      </c>
      <c r="AC156" s="16">
        <f t="shared" si="75"/>
        <v>14104.145161290322</v>
      </c>
    </row>
    <row r="157" spans="1:29" x14ac:dyDescent="0.2">
      <c r="A157" s="10" t="s">
        <v>141</v>
      </c>
      <c r="B157" s="11">
        <f t="shared" si="83"/>
        <v>152</v>
      </c>
      <c r="C157" s="11" t="s">
        <v>128</v>
      </c>
      <c r="D157" s="19" t="s">
        <v>50</v>
      </c>
      <c r="E157" s="19" t="s">
        <v>484</v>
      </c>
      <c r="F157" s="20">
        <v>42646</v>
      </c>
      <c r="G157" s="11">
        <v>37</v>
      </c>
      <c r="H157" s="13">
        <f t="shared" si="68"/>
        <v>5967.7419354838703</v>
      </c>
      <c r="I157" s="13">
        <f t="shared" si="76"/>
        <v>0</v>
      </c>
      <c r="J157" s="13">
        <f t="shared" si="77"/>
        <v>298.38709677419354</v>
      </c>
      <c r="L157" s="13">
        <f t="shared" si="85"/>
        <v>954.83870967741927</v>
      </c>
      <c r="N157" s="13">
        <f>((1950+1441+839+0)/G$3)*G157</f>
        <v>5048.7096774193542</v>
      </c>
      <c r="P157" s="13">
        <f t="shared" ref="P157:P209" si="96">SUM(H157:O157)</f>
        <v>12269.677419354837</v>
      </c>
      <c r="Q157" s="12">
        <f t="shared" si="70"/>
        <v>716.1290322580644</v>
      </c>
      <c r="R157" s="12">
        <f t="shared" si="84"/>
        <v>215</v>
      </c>
      <c r="S157" s="21">
        <v>0</v>
      </c>
      <c r="T157" s="13">
        <v>0</v>
      </c>
      <c r="U157" s="13">
        <f t="shared" ref="U157:U158" si="97">SUM(Q157:T157)</f>
        <v>931.1290322580644</v>
      </c>
      <c r="V157" s="13">
        <f t="shared" si="73"/>
        <v>11338.548387096773</v>
      </c>
      <c r="X157" s="13">
        <f t="shared" si="79"/>
        <v>11338.548387096773</v>
      </c>
      <c r="Y157" s="12">
        <f t="shared" si="80"/>
        <v>784.75806451612902</v>
      </c>
      <c r="Z157" s="12">
        <f t="shared" si="74"/>
        <v>583</v>
      </c>
      <c r="AA157" s="1">
        <f t="shared" si="81"/>
        <v>0</v>
      </c>
      <c r="AB157" s="16">
        <f t="shared" ref="AB157:AB158" si="98">SUM(Y157:AA157)</f>
        <v>1367.758064516129</v>
      </c>
      <c r="AC157" s="16">
        <f t="shared" si="75"/>
        <v>13637.435483870966</v>
      </c>
    </row>
    <row r="158" spans="1:29" x14ac:dyDescent="0.2">
      <c r="A158" s="10" t="s">
        <v>142</v>
      </c>
      <c r="B158" s="11">
        <f t="shared" si="83"/>
        <v>153</v>
      </c>
      <c r="C158" s="11" t="s">
        <v>486</v>
      </c>
      <c r="D158" s="19" t="s">
        <v>50</v>
      </c>
      <c r="E158" s="19" t="s">
        <v>484</v>
      </c>
      <c r="F158" s="20">
        <v>42648</v>
      </c>
      <c r="G158" s="11">
        <v>37</v>
      </c>
      <c r="H158" s="13">
        <f t="shared" si="68"/>
        <v>5967.7419354838703</v>
      </c>
      <c r="I158" s="13">
        <f t="shared" si="76"/>
        <v>0</v>
      </c>
      <c r="J158" s="13">
        <f t="shared" si="77"/>
        <v>298.38709677419354</v>
      </c>
      <c r="L158" s="13">
        <f t="shared" si="85"/>
        <v>954.83870967741927</v>
      </c>
      <c r="N158" s="13">
        <f>((1950+1441+839+0)/G$3)*G158</f>
        <v>5048.7096774193542</v>
      </c>
      <c r="P158" s="13">
        <f t="shared" si="96"/>
        <v>12269.677419354837</v>
      </c>
      <c r="Q158" s="12">
        <f t="shared" si="70"/>
        <v>716.1290322580644</v>
      </c>
      <c r="R158" s="12">
        <f t="shared" si="84"/>
        <v>215</v>
      </c>
      <c r="S158" s="21">
        <v>0</v>
      </c>
      <c r="T158" s="13">
        <v>0</v>
      </c>
      <c r="U158" s="13">
        <f t="shared" si="97"/>
        <v>931.1290322580644</v>
      </c>
      <c r="V158" s="13">
        <f t="shared" si="73"/>
        <v>11338.548387096773</v>
      </c>
      <c r="X158" s="13">
        <f t="shared" si="79"/>
        <v>11338.548387096773</v>
      </c>
      <c r="Y158" s="12">
        <f t="shared" si="80"/>
        <v>784.75806451612902</v>
      </c>
      <c r="Z158" s="12">
        <f t="shared" si="74"/>
        <v>583</v>
      </c>
      <c r="AA158" s="1">
        <f t="shared" si="81"/>
        <v>0</v>
      </c>
      <c r="AB158" s="16">
        <f t="shared" si="98"/>
        <v>1367.758064516129</v>
      </c>
      <c r="AC158" s="16">
        <f t="shared" si="75"/>
        <v>13637.435483870966</v>
      </c>
    </row>
    <row r="159" spans="1:29" x14ac:dyDescent="0.2">
      <c r="A159" s="10" t="s">
        <v>159</v>
      </c>
      <c r="B159" s="11">
        <f t="shared" si="83"/>
        <v>154</v>
      </c>
      <c r="C159" s="11" t="s">
        <v>135</v>
      </c>
      <c r="D159" s="19" t="s">
        <v>50</v>
      </c>
      <c r="E159" s="19" t="s">
        <v>241</v>
      </c>
      <c r="F159" s="20">
        <v>42689</v>
      </c>
      <c r="G159" s="11">
        <v>37</v>
      </c>
      <c r="H159" s="13">
        <f t="shared" si="68"/>
        <v>5967.7419354838703</v>
      </c>
      <c r="I159" s="13">
        <f t="shared" si="76"/>
        <v>0</v>
      </c>
      <c r="J159" s="13">
        <f t="shared" si="77"/>
        <v>298.38709677419354</v>
      </c>
      <c r="L159" s="13">
        <f t="shared" si="85"/>
        <v>954.83870967741927</v>
      </c>
      <c r="N159" s="13">
        <f>((9014+0)/G$3)*G159</f>
        <v>10758.645161290322</v>
      </c>
      <c r="P159" s="13">
        <f t="shared" si="96"/>
        <v>17979.612903225803</v>
      </c>
      <c r="Q159" s="12">
        <f t="shared" si="70"/>
        <v>716.1290322580644</v>
      </c>
      <c r="R159" s="12">
        <f t="shared" si="84"/>
        <v>315</v>
      </c>
      <c r="S159" s="21">
        <v>0</v>
      </c>
      <c r="T159" s="13">
        <v>0</v>
      </c>
      <c r="U159" s="13">
        <f t="shared" ref="U159:U163" si="99">SUM(Q159:T159)</f>
        <v>1031.1290322580644</v>
      </c>
      <c r="V159" s="13">
        <f t="shared" si="73"/>
        <v>16948.483870967739</v>
      </c>
      <c r="X159" s="13">
        <f t="shared" si="79"/>
        <v>16948.483870967739</v>
      </c>
      <c r="Y159" s="12">
        <f t="shared" si="80"/>
        <v>784.75806451612902</v>
      </c>
      <c r="Z159" s="12">
        <f t="shared" si="74"/>
        <v>855</v>
      </c>
      <c r="AA159" s="1">
        <f t="shared" si="81"/>
        <v>0</v>
      </c>
      <c r="AB159" s="16">
        <f t="shared" ref="AB159:AB163" si="100">SUM(Y159:AA159)</f>
        <v>1639.758064516129</v>
      </c>
      <c r="AC159" s="16">
        <f t="shared" si="75"/>
        <v>19619.370967741932</v>
      </c>
    </row>
    <row r="160" spans="1:29" x14ac:dyDescent="0.2">
      <c r="A160" s="10" t="s">
        <v>160</v>
      </c>
      <c r="B160" s="11">
        <f t="shared" si="83"/>
        <v>155</v>
      </c>
      <c r="C160" s="11" t="s">
        <v>198</v>
      </c>
      <c r="D160" s="19" t="s">
        <v>50</v>
      </c>
      <c r="E160" s="19" t="s">
        <v>240</v>
      </c>
      <c r="F160" s="20">
        <v>42675</v>
      </c>
      <c r="G160" s="11">
        <v>34</v>
      </c>
      <c r="H160" s="13">
        <f t="shared" si="68"/>
        <v>5483.8709677419356</v>
      </c>
      <c r="I160" s="13">
        <f t="shared" si="76"/>
        <v>0</v>
      </c>
      <c r="J160" s="13">
        <f t="shared" si="77"/>
        <v>274.19354838709677</v>
      </c>
      <c r="L160" s="13">
        <f t="shared" si="85"/>
        <v>877.41935483870964</v>
      </c>
      <c r="N160" s="13">
        <f>((6979+814+0)/G$3)*G160</f>
        <v>8547.1612903225796</v>
      </c>
      <c r="P160" s="13">
        <f t="shared" si="96"/>
        <v>15182.645161290322</v>
      </c>
      <c r="Q160" s="12">
        <f t="shared" si="70"/>
        <v>658.0645161290322</v>
      </c>
      <c r="R160" s="12">
        <f t="shared" si="84"/>
        <v>266</v>
      </c>
      <c r="S160" s="21">
        <v>0</v>
      </c>
      <c r="T160" s="13">
        <v>0</v>
      </c>
      <c r="U160" s="13">
        <f t="shared" si="99"/>
        <v>924.0645161290322</v>
      </c>
      <c r="V160" s="13">
        <f t="shared" si="73"/>
        <v>14258.58064516129</v>
      </c>
      <c r="X160" s="13">
        <f t="shared" si="79"/>
        <v>14258.58064516129</v>
      </c>
      <c r="Y160" s="12">
        <f t="shared" si="80"/>
        <v>721.12903225806451</v>
      </c>
      <c r="Z160" s="12">
        <f t="shared" si="74"/>
        <v>722</v>
      </c>
      <c r="AA160" s="1">
        <f t="shared" si="81"/>
        <v>0</v>
      </c>
      <c r="AB160" s="16">
        <f t="shared" si="100"/>
        <v>1443.1290322580644</v>
      </c>
      <c r="AC160" s="16">
        <f t="shared" si="75"/>
        <v>16625.774193548386</v>
      </c>
    </row>
    <row r="161" spans="1:29" x14ac:dyDescent="0.2">
      <c r="A161" s="10" t="s">
        <v>161</v>
      </c>
      <c r="B161" s="11">
        <f t="shared" si="83"/>
        <v>156</v>
      </c>
      <c r="C161" s="11" t="s">
        <v>203</v>
      </c>
      <c r="D161" s="19" t="s">
        <v>50</v>
      </c>
      <c r="E161" s="19" t="s">
        <v>241</v>
      </c>
      <c r="F161" s="20">
        <v>42688</v>
      </c>
      <c r="G161" s="11">
        <v>37</v>
      </c>
      <c r="H161" s="13">
        <f t="shared" si="68"/>
        <v>5967.7419354838703</v>
      </c>
      <c r="I161" s="13">
        <f t="shared" si="76"/>
        <v>0</v>
      </c>
      <c r="J161" s="13">
        <f t="shared" si="77"/>
        <v>298.38709677419354</v>
      </c>
      <c r="L161" s="13">
        <f t="shared" si="85"/>
        <v>954.83870967741927</v>
      </c>
      <c r="N161" s="13">
        <f>((1950+1441+839+0)/G$3)*G161</f>
        <v>5048.7096774193542</v>
      </c>
      <c r="P161" s="13">
        <f t="shared" si="96"/>
        <v>12269.677419354837</v>
      </c>
      <c r="Q161" s="12">
        <f t="shared" si="70"/>
        <v>716.1290322580644</v>
      </c>
      <c r="R161" s="12">
        <f t="shared" si="84"/>
        <v>215</v>
      </c>
      <c r="S161" s="21">
        <v>0</v>
      </c>
      <c r="T161" s="13">
        <v>0</v>
      </c>
      <c r="U161" s="13">
        <f t="shared" si="99"/>
        <v>931.1290322580644</v>
      </c>
      <c r="V161" s="13">
        <f t="shared" si="73"/>
        <v>11338.548387096773</v>
      </c>
      <c r="X161" s="13">
        <f t="shared" si="79"/>
        <v>11338.548387096773</v>
      </c>
      <c r="Y161" s="12">
        <f t="shared" si="80"/>
        <v>784.75806451612902</v>
      </c>
      <c r="Z161" s="12">
        <f t="shared" si="74"/>
        <v>583</v>
      </c>
      <c r="AA161" s="1">
        <f t="shared" si="81"/>
        <v>0</v>
      </c>
      <c r="AB161" s="16">
        <f t="shared" si="100"/>
        <v>1367.758064516129</v>
      </c>
      <c r="AC161" s="16">
        <f t="shared" si="75"/>
        <v>13637.435483870966</v>
      </c>
    </row>
    <row r="162" spans="1:29" x14ac:dyDescent="0.2">
      <c r="A162" s="10" t="s">
        <v>162</v>
      </c>
      <c r="B162" s="11">
        <f t="shared" si="83"/>
        <v>157</v>
      </c>
      <c r="C162" s="11" t="s">
        <v>136</v>
      </c>
      <c r="D162" s="19" t="s">
        <v>50</v>
      </c>
      <c r="E162" s="19" t="s">
        <v>238</v>
      </c>
      <c r="F162" s="20">
        <v>42698</v>
      </c>
      <c r="G162" s="11">
        <v>37</v>
      </c>
      <c r="H162" s="13">
        <f t="shared" si="68"/>
        <v>5967.7419354838703</v>
      </c>
      <c r="I162" s="13">
        <f t="shared" si="76"/>
        <v>0</v>
      </c>
      <c r="J162" s="13">
        <f t="shared" si="77"/>
        <v>298.38709677419354</v>
      </c>
      <c r="L162" s="13">
        <f t="shared" si="85"/>
        <v>954.83870967741927</v>
      </c>
      <c r="N162" s="13">
        <f>((1950+1441+1043+814+0)/G$3)*G162</f>
        <v>6263.7419354838703</v>
      </c>
      <c r="P162" s="13">
        <f t="shared" si="96"/>
        <v>13484.709677419352</v>
      </c>
      <c r="Q162" s="12">
        <f t="shared" si="70"/>
        <v>716.1290322580644</v>
      </c>
      <c r="R162" s="12">
        <f t="shared" si="84"/>
        <v>236</v>
      </c>
      <c r="S162" s="21">
        <v>0</v>
      </c>
      <c r="T162" s="13">
        <v>0</v>
      </c>
      <c r="U162" s="13">
        <f t="shared" si="99"/>
        <v>952.1290322580644</v>
      </c>
      <c r="V162" s="13">
        <f t="shared" si="73"/>
        <v>12532.580645161288</v>
      </c>
      <c r="X162" s="13">
        <f t="shared" si="79"/>
        <v>12532.580645161288</v>
      </c>
      <c r="Y162" s="12">
        <f t="shared" si="80"/>
        <v>784.75806451612902</v>
      </c>
      <c r="Z162" s="12">
        <f t="shared" si="74"/>
        <v>641</v>
      </c>
      <c r="AA162" s="1">
        <f t="shared" si="81"/>
        <v>0</v>
      </c>
      <c r="AB162" s="16">
        <f t="shared" si="100"/>
        <v>1425.758064516129</v>
      </c>
      <c r="AC162" s="16">
        <f t="shared" si="75"/>
        <v>14910.467741935481</v>
      </c>
    </row>
    <row r="163" spans="1:29" x14ac:dyDescent="0.2">
      <c r="A163" s="10" t="s">
        <v>163</v>
      </c>
      <c r="B163" s="11">
        <f t="shared" si="83"/>
        <v>158</v>
      </c>
      <c r="C163" s="11" t="s">
        <v>137</v>
      </c>
      <c r="D163" s="19" t="s">
        <v>50</v>
      </c>
      <c r="E163" s="19" t="s">
        <v>232</v>
      </c>
      <c r="F163" s="20">
        <v>42701</v>
      </c>
      <c r="G163" s="11">
        <v>31</v>
      </c>
      <c r="H163" s="13">
        <f t="shared" si="68"/>
        <v>5000</v>
      </c>
      <c r="I163" s="13">
        <f t="shared" si="76"/>
        <v>0</v>
      </c>
      <c r="J163" s="13">
        <f t="shared" si="77"/>
        <v>250</v>
      </c>
      <c r="L163" s="13">
        <f t="shared" si="85"/>
        <v>800</v>
      </c>
      <c r="N163" s="13">
        <f>((1950+1441+1043+814+0)/G$3)*G163</f>
        <v>5248</v>
      </c>
      <c r="P163" s="13">
        <f t="shared" si="96"/>
        <v>11298</v>
      </c>
      <c r="Q163" s="12">
        <f t="shared" si="70"/>
        <v>600</v>
      </c>
      <c r="R163" s="12">
        <f t="shared" si="84"/>
        <v>198</v>
      </c>
      <c r="S163" s="21">
        <v>0</v>
      </c>
      <c r="T163" s="13">
        <v>0</v>
      </c>
      <c r="U163" s="13">
        <f t="shared" si="99"/>
        <v>798</v>
      </c>
      <c r="V163" s="13">
        <f t="shared" si="73"/>
        <v>10500</v>
      </c>
      <c r="X163" s="13">
        <f t="shared" si="79"/>
        <v>10500</v>
      </c>
      <c r="Y163" s="12">
        <f t="shared" si="80"/>
        <v>657.5</v>
      </c>
      <c r="Z163" s="12">
        <f t="shared" si="74"/>
        <v>537</v>
      </c>
      <c r="AA163" s="1">
        <f t="shared" si="81"/>
        <v>0</v>
      </c>
      <c r="AB163" s="16">
        <f t="shared" si="100"/>
        <v>1194.5</v>
      </c>
      <c r="AC163" s="16">
        <f t="shared" si="75"/>
        <v>12492.5</v>
      </c>
    </row>
    <row r="164" spans="1:29" x14ac:dyDescent="0.2">
      <c r="A164" s="10" t="s">
        <v>183</v>
      </c>
      <c r="B164" s="11">
        <f t="shared" si="83"/>
        <v>159</v>
      </c>
      <c r="C164" s="11" t="s">
        <v>150</v>
      </c>
      <c r="D164" s="19" t="s">
        <v>50</v>
      </c>
      <c r="E164" s="19" t="s">
        <v>234</v>
      </c>
      <c r="F164" s="20">
        <v>42705</v>
      </c>
      <c r="G164" s="11">
        <v>37</v>
      </c>
      <c r="H164" s="13">
        <f t="shared" si="68"/>
        <v>5967.7419354838703</v>
      </c>
      <c r="I164" s="13">
        <f t="shared" si="76"/>
        <v>0</v>
      </c>
      <c r="J164" s="13">
        <f t="shared" si="77"/>
        <v>298.38709677419354</v>
      </c>
      <c r="L164" s="13">
        <f t="shared" si="85"/>
        <v>954.83870967741927</v>
      </c>
      <c r="N164" s="13">
        <f>((1950+1441+1043+814+204)/G$3)*G164</f>
        <v>6507.2258064516127</v>
      </c>
      <c r="P164" s="13">
        <f t="shared" si="96"/>
        <v>13728.193548387095</v>
      </c>
      <c r="Q164" s="12">
        <f t="shared" si="70"/>
        <v>716.1290322580644</v>
      </c>
      <c r="R164" s="12">
        <f t="shared" si="84"/>
        <v>241</v>
      </c>
      <c r="S164" s="21">
        <v>0</v>
      </c>
      <c r="T164" s="13">
        <v>0</v>
      </c>
      <c r="U164" s="13">
        <f t="shared" ref="U164:U171" si="101">SUM(Q164:T164)</f>
        <v>957.1290322580644</v>
      </c>
      <c r="V164" s="13">
        <f t="shared" si="73"/>
        <v>12771.06451612903</v>
      </c>
      <c r="X164" s="13">
        <f t="shared" si="79"/>
        <v>12771.06451612903</v>
      </c>
      <c r="Y164" s="12">
        <f t="shared" si="80"/>
        <v>784.75806451612902</v>
      </c>
      <c r="Z164" s="12">
        <f t="shared" si="74"/>
        <v>653</v>
      </c>
      <c r="AA164" s="1">
        <f t="shared" si="81"/>
        <v>0</v>
      </c>
      <c r="AB164" s="16">
        <f t="shared" ref="AB164:AB171" si="102">SUM(Y164:AA164)</f>
        <v>1437.758064516129</v>
      </c>
      <c r="AC164" s="16">
        <f t="shared" si="75"/>
        <v>15165.951612903224</v>
      </c>
    </row>
    <row r="165" spans="1:29" x14ac:dyDescent="0.2">
      <c r="A165" s="10" t="s">
        <v>184</v>
      </c>
      <c r="B165" s="11">
        <f t="shared" si="83"/>
        <v>160</v>
      </c>
      <c r="C165" s="11" t="s">
        <v>151</v>
      </c>
      <c r="D165" s="19" t="s">
        <v>50</v>
      </c>
      <c r="E165" s="19" t="s">
        <v>242</v>
      </c>
      <c r="F165" s="20">
        <v>42705</v>
      </c>
      <c r="G165" s="11">
        <v>32</v>
      </c>
      <c r="H165" s="13">
        <f t="shared" si="68"/>
        <v>5161.2903225806449</v>
      </c>
      <c r="I165" s="13">
        <f t="shared" si="76"/>
        <v>0</v>
      </c>
      <c r="J165" s="13">
        <f t="shared" si="77"/>
        <v>258.06451612903226</v>
      </c>
      <c r="L165" s="13">
        <f t="shared" si="85"/>
        <v>825.80645161290317</v>
      </c>
      <c r="N165" s="13">
        <f>((1950+1441+839+0)/G$3)*G165</f>
        <v>4366.4516129032254</v>
      </c>
      <c r="P165" s="13">
        <f t="shared" si="96"/>
        <v>10611.612903225807</v>
      </c>
      <c r="Q165" s="12">
        <f t="shared" si="70"/>
        <v>619.35483870967732</v>
      </c>
      <c r="R165" s="12">
        <f t="shared" si="84"/>
        <v>186</v>
      </c>
      <c r="S165" s="21">
        <v>0</v>
      </c>
      <c r="T165" s="13">
        <v>0</v>
      </c>
      <c r="U165" s="13">
        <f t="shared" si="101"/>
        <v>805.35483870967732</v>
      </c>
      <c r="V165" s="13">
        <f t="shared" si="73"/>
        <v>9806.2580645161288</v>
      </c>
      <c r="X165" s="13">
        <f t="shared" si="79"/>
        <v>9806.2580645161288</v>
      </c>
      <c r="Y165" s="12">
        <f t="shared" si="80"/>
        <v>678.70967741935488</v>
      </c>
      <c r="Z165" s="12">
        <f t="shared" si="74"/>
        <v>505</v>
      </c>
      <c r="AA165" s="1">
        <f t="shared" si="81"/>
        <v>0</v>
      </c>
      <c r="AB165" s="16">
        <f t="shared" si="102"/>
        <v>1183.7096774193549</v>
      </c>
      <c r="AC165" s="16">
        <f t="shared" si="75"/>
        <v>11795.322580645161</v>
      </c>
    </row>
    <row r="166" spans="1:29" x14ac:dyDescent="0.2">
      <c r="A166" s="10" t="s">
        <v>185</v>
      </c>
      <c r="B166" s="11">
        <f t="shared" si="83"/>
        <v>161</v>
      </c>
      <c r="C166" s="11" t="s">
        <v>152</v>
      </c>
      <c r="D166" s="19" t="s">
        <v>50</v>
      </c>
      <c r="E166" s="19" t="s">
        <v>234</v>
      </c>
      <c r="F166" s="20">
        <v>42705</v>
      </c>
      <c r="G166" s="11">
        <v>26</v>
      </c>
      <c r="H166" s="13">
        <f t="shared" si="68"/>
        <v>4193.5483870967737</v>
      </c>
      <c r="I166" s="13">
        <f t="shared" si="76"/>
        <v>0</v>
      </c>
      <c r="J166" s="13">
        <f t="shared" si="77"/>
        <v>209.67741935483869</v>
      </c>
      <c r="L166" s="13">
        <f t="shared" si="85"/>
        <v>670.96774193548379</v>
      </c>
      <c r="N166" s="13">
        <f>((1950+1441+1043+814+0)/G$3)*G166</f>
        <v>4401.5483870967737</v>
      </c>
      <c r="P166" s="13">
        <f t="shared" si="96"/>
        <v>9475.7419354838712</v>
      </c>
      <c r="Q166" s="12">
        <f t="shared" si="70"/>
        <v>503.22580645161281</v>
      </c>
      <c r="R166" s="12">
        <f t="shared" si="84"/>
        <v>166</v>
      </c>
      <c r="S166" s="21">
        <v>0</v>
      </c>
      <c r="T166" s="13">
        <v>0</v>
      </c>
      <c r="U166" s="13">
        <f t="shared" si="101"/>
        <v>669.22580645161281</v>
      </c>
      <c r="V166" s="13">
        <f t="shared" si="73"/>
        <v>8806.5161290322576</v>
      </c>
      <c r="X166" s="13">
        <f t="shared" si="79"/>
        <v>8806.5161290322576</v>
      </c>
      <c r="Y166" s="12">
        <f t="shared" si="80"/>
        <v>551.45161290322574</v>
      </c>
      <c r="Z166" s="12">
        <f t="shared" si="74"/>
        <v>451</v>
      </c>
      <c r="AA166" s="1">
        <f t="shared" si="81"/>
        <v>0</v>
      </c>
      <c r="AB166" s="16">
        <f t="shared" si="102"/>
        <v>1002.4516129032257</v>
      </c>
      <c r="AC166" s="16">
        <f t="shared" si="75"/>
        <v>10478.193548387097</v>
      </c>
    </row>
    <row r="167" spans="1:29" x14ac:dyDescent="0.2">
      <c r="A167" s="10" t="s">
        <v>186</v>
      </c>
      <c r="B167" s="11">
        <f t="shared" si="83"/>
        <v>162</v>
      </c>
      <c r="C167" s="11" t="s">
        <v>174</v>
      </c>
      <c r="D167" s="19" t="s">
        <v>50</v>
      </c>
      <c r="E167" s="19" t="s">
        <v>238</v>
      </c>
      <c r="F167" s="20">
        <v>42705</v>
      </c>
      <c r="G167" s="11">
        <v>35.5</v>
      </c>
      <c r="H167" s="13">
        <f t="shared" si="68"/>
        <v>5725.8064516129025</v>
      </c>
      <c r="I167" s="13">
        <f t="shared" si="76"/>
        <v>0</v>
      </c>
      <c r="J167" s="13">
        <f t="shared" si="77"/>
        <v>286.29032258064512</v>
      </c>
      <c r="L167" s="13">
        <f t="shared" si="85"/>
        <v>916.12903225806451</v>
      </c>
      <c r="N167" s="13">
        <f>((1950+1441+1043+814+0)/G$3)*G167</f>
        <v>6009.8064516129025</v>
      </c>
      <c r="P167" s="13">
        <f t="shared" si="96"/>
        <v>12938.032258064515</v>
      </c>
      <c r="Q167" s="12">
        <f t="shared" si="70"/>
        <v>687.0967741935483</v>
      </c>
      <c r="R167" s="12">
        <f t="shared" si="84"/>
        <v>227</v>
      </c>
      <c r="S167" s="21">
        <v>0</v>
      </c>
      <c r="T167" s="13">
        <v>0</v>
      </c>
      <c r="U167" s="13">
        <f t="shared" si="101"/>
        <v>914.0967741935483</v>
      </c>
      <c r="V167" s="13">
        <f t="shared" si="73"/>
        <v>12023.935483870966</v>
      </c>
      <c r="X167" s="13">
        <f t="shared" si="79"/>
        <v>12023.935483870966</v>
      </c>
      <c r="Y167" s="12">
        <f t="shared" si="80"/>
        <v>752.94354838709671</v>
      </c>
      <c r="Z167" s="12">
        <f t="shared" si="74"/>
        <v>615</v>
      </c>
      <c r="AA167" s="1">
        <f t="shared" si="81"/>
        <v>0</v>
      </c>
      <c r="AB167" s="16">
        <f t="shared" si="102"/>
        <v>1367.9435483870966</v>
      </c>
      <c r="AC167" s="16">
        <f t="shared" si="75"/>
        <v>14305.975806451612</v>
      </c>
    </row>
    <row r="168" spans="1:29" x14ac:dyDescent="0.2">
      <c r="A168" s="10" t="s">
        <v>187</v>
      </c>
      <c r="B168" s="11">
        <f t="shared" si="83"/>
        <v>163</v>
      </c>
      <c r="C168" s="41" t="s">
        <v>430</v>
      </c>
      <c r="D168" s="19" t="s">
        <v>50</v>
      </c>
      <c r="E168" s="19" t="s">
        <v>234</v>
      </c>
      <c r="F168" s="20">
        <v>42705</v>
      </c>
      <c r="G168" s="11">
        <v>37</v>
      </c>
      <c r="H168" s="13">
        <f t="shared" si="68"/>
        <v>5967.7419354838703</v>
      </c>
      <c r="I168" s="13">
        <f t="shared" si="76"/>
        <v>0</v>
      </c>
      <c r="J168" s="13">
        <f t="shared" si="77"/>
        <v>298.38709677419354</v>
      </c>
      <c r="L168" s="13">
        <f t="shared" si="85"/>
        <v>954.83870967741927</v>
      </c>
      <c r="N168" s="13">
        <f>((1950+1441+1043+2417)/G$3)*G168</f>
        <v>8177</v>
      </c>
      <c r="P168" s="13">
        <f t="shared" si="96"/>
        <v>15397.967741935483</v>
      </c>
      <c r="Q168" s="12">
        <f t="shared" si="70"/>
        <v>716.1290322580644</v>
      </c>
      <c r="R168" s="12">
        <f t="shared" si="84"/>
        <v>270</v>
      </c>
      <c r="S168" s="21">
        <v>0</v>
      </c>
      <c r="T168" s="13">
        <v>0</v>
      </c>
      <c r="U168" s="13">
        <f t="shared" si="101"/>
        <v>986.1290322580644</v>
      </c>
      <c r="V168" s="13">
        <f t="shared" si="73"/>
        <v>14411.838709677419</v>
      </c>
      <c r="X168" s="13">
        <f t="shared" si="79"/>
        <v>14411.838709677419</v>
      </c>
      <c r="Y168" s="12">
        <f t="shared" si="80"/>
        <v>784.75806451612902</v>
      </c>
      <c r="Z168" s="12">
        <f t="shared" si="74"/>
        <v>732</v>
      </c>
      <c r="AA168" s="1">
        <f t="shared" si="81"/>
        <v>0</v>
      </c>
      <c r="AB168" s="16">
        <f t="shared" si="102"/>
        <v>1516.758064516129</v>
      </c>
      <c r="AC168" s="16">
        <f t="shared" si="75"/>
        <v>16914.725806451614</v>
      </c>
    </row>
    <row r="169" spans="1:29" x14ac:dyDescent="0.2">
      <c r="A169" s="10" t="s">
        <v>188</v>
      </c>
      <c r="B169" s="11">
        <f t="shared" si="83"/>
        <v>164</v>
      </c>
      <c r="C169" s="11" t="s">
        <v>153</v>
      </c>
      <c r="D169" s="19" t="s">
        <v>50</v>
      </c>
      <c r="E169" s="19" t="s">
        <v>232</v>
      </c>
      <c r="F169" s="20">
        <v>42705</v>
      </c>
      <c r="G169" s="11">
        <v>34</v>
      </c>
      <c r="H169" s="13">
        <f t="shared" si="68"/>
        <v>5483.8709677419356</v>
      </c>
      <c r="I169" s="13">
        <f t="shared" si="76"/>
        <v>0</v>
      </c>
      <c r="J169" s="13">
        <f t="shared" si="77"/>
        <v>274.19354838709677</v>
      </c>
      <c r="L169" s="13">
        <f t="shared" si="85"/>
        <v>877.41935483870964</v>
      </c>
      <c r="N169" s="13">
        <f>((1950+1441+1043+814+0)/G$3)*G169</f>
        <v>5755.8709677419356</v>
      </c>
      <c r="P169" s="13">
        <f t="shared" si="96"/>
        <v>12391.354838709678</v>
      </c>
      <c r="Q169" s="12">
        <f t="shared" si="70"/>
        <v>658.0645161290322</v>
      </c>
      <c r="R169" s="12">
        <f t="shared" si="84"/>
        <v>217</v>
      </c>
      <c r="S169" s="21">
        <v>0</v>
      </c>
      <c r="T169" s="13">
        <v>0</v>
      </c>
      <c r="U169" s="13">
        <f t="shared" si="101"/>
        <v>875.0645161290322</v>
      </c>
      <c r="V169" s="13">
        <f t="shared" si="73"/>
        <v>11516.290322580646</v>
      </c>
      <c r="X169" s="13">
        <f t="shared" si="79"/>
        <v>11516.290322580646</v>
      </c>
      <c r="Y169" s="12">
        <f t="shared" si="80"/>
        <v>721.12903225806451</v>
      </c>
      <c r="Z169" s="12">
        <f t="shared" si="74"/>
        <v>589</v>
      </c>
      <c r="AA169" s="1">
        <f t="shared" si="81"/>
        <v>0</v>
      </c>
      <c r="AB169" s="16">
        <f t="shared" si="102"/>
        <v>1310.1290322580644</v>
      </c>
      <c r="AC169" s="16">
        <f t="shared" si="75"/>
        <v>13701.483870967742</v>
      </c>
    </row>
    <row r="170" spans="1:29" x14ac:dyDescent="0.2">
      <c r="A170" s="10" t="s">
        <v>189</v>
      </c>
      <c r="B170" s="11">
        <f t="shared" si="83"/>
        <v>165</v>
      </c>
      <c r="C170" s="11" t="s">
        <v>488</v>
      </c>
      <c r="D170" s="19" t="s">
        <v>50</v>
      </c>
      <c r="E170" s="19" t="s">
        <v>237</v>
      </c>
      <c r="F170" s="20">
        <v>42705</v>
      </c>
      <c r="G170" s="11">
        <v>34</v>
      </c>
      <c r="H170" s="13">
        <f t="shared" si="68"/>
        <v>5483.8709677419356</v>
      </c>
      <c r="I170" s="13">
        <f t="shared" si="76"/>
        <v>0</v>
      </c>
      <c r="J170" s="13">
        <f t="shared" si="77"/>
        <v>274.19354838709677</v>
      </c>
      <c r="L170" s="13">
        <f t="shared" si="85"/>
        <v>877.41935483870964</v>
      </c>
      <c r="N170" s="13">
        <f>((1950+1441+2061+1323+0)/G$3)*G170</f>
        <v>7430.6451612903229</v>
      </c>
      <c r="P170" s="13">
        <f t="shared" si="96"/>
        <v>14066.129032258064</v>
      </c>
      <c r="Q170" s="12">
        <f t="shared" si="70"/>
        <v>658.0645161290322</v>
      </c>
      <c r="R170" s="12">
        <f t="shared" si="84"/>
        <v>247</v>
      </c>
      <c r="S170" s="21">
        <v>0</v>
      </c>
      <c r="T170" s="13">
        <v>0</v>
      </c>
      <c r="U170" s="13">
        <f t="shared" si="101"/>
        <v>905.0645161290322</v>
      </c>
      <c r="V170" s="13">
        <f t="shared" si="73"/>
        <v>13161.064516129032</v>
      </c>
      <c r="X170" s="13">
        <f t="shared" si="79"/>
        <v>13161.064516129032</v>
      </c>
      <c r="Y170" s="12">
        <f t="shared" si="80"/>
        <v>721.12903225806451</v>
      </c>
      <c r="Z170" s="12">
        <f t="shared" si="74"/>
        <v>669</v>
      </c>
      <c r="AA170" s="1">
        <f t="shared" si="81"/>
        <v>0</v>
      </c>
      <c r="AB170" s="16">
        <f t="shared" si="102"/>
        <v>1390.1290322580644</v>
      </c>
      <c r="AC170" s="16">
        <f t="shared" si="75"/>
        <v>15456.258064516129</v>
      </c>
    </row>
    <row r="171" spans="1:29" x14ac:dyDescent="0.2">
      <c r="A171" s="10" t="s">
        <v>190</v>
      </c>
      <c r="B171" s="11">
        <f t="shared" si="83"/>
        <v>166</v>
      </c>
      <c r="C171" s="11" t="s">
        <v>154</v>
      </c>
      <c r="D171" s="19" t="s">
        <v>50</v>
      </c>
      <c r="E171" s="19" t="s">
        <v>484</v>
      </c>
      <c r="F171" s="20">
        <v>42705</v>
      </c>
      <c r="G171" s="11">
        <v>35</v>
      </c>
      <c r="H171" s="13">
        <f t="shared" si="68"/>
        <v>5645.1612903225805</v>
      </c>
      <c r="I171" s="13">
        <f t="shared" si="76"/>
        <v>0</v>
      </c>
      <c r="J171" s="13">
        <f t="shared" si="77"/>
        <v>282.25806451612902</v>
      </c>
      <c r="L171" s="13">
        <f t="shared" si="85"/>
        <v>903.22580645161281</v>
      </c>
      <c r="N171" s="13">
        <f>((1950+1441+839+0)/G$3)*G171</f>
        <v>4775.8064516129025</v>
      </c>
      <c r="P171" s="13">
        <f t="shared" si="96"/>
        <v>11606.451612903224</v>
      </c>
      <c r="Q171" s="12">
        <f t="shared" si="70"/>
        <v>677.41935483870964</v>
      </c>
      <c r="R171" s="12">
        <f t="shared" si="84"/>
        <v>204</v>
      </c>
      <c r="S171" s="21">
        <v>0</v>
      </c>
      <c r="T171" s="13">
        <v>0</v>
      </c>
      <c r="U171" s="13">
        <f t="shared" si="101"/>
        <v>881.41935483870964</v>
      </c>
      <c r="V171" s="13">
        <f t="shared" si="73"/>
        <v>10725.032258064513</v>
      </c>
      <c r="X171" s="13">
        <f t="shared" si="79"/>
        <v>10725.032258064513</v>
      </c>
      <c r="Y171" s="12">
        <f t="shared" si="80"/>
        <v>742.33870967741939</v>
      </c>
      <c r="Z171" s="12">
        <f t="shared" si="74"/>
        <v>552</v>
      </c>
      <c r="AA171" s="1">
        <f t="shared" si="81"/>
        <v>0</v>
      </c>
      <c r="AB171" s="16">
        <f t="shared" si="102"/>
        <v>1294.3387096774195</v>
      </c>
      <c r="AC171" s="16">
        <f t="shared" si="75"/>
        <v>12900.790322580644</v>
      </c>
    </row>
    <row r="172" spans="1:29" x14ac:dyDescent="0.2">
      <c r="A172" s="10" t="s">
        <v>225</v>
      </c>
      <c r="B172" s="11">
        <f t="shared" si="83"/>
        <v>167</v>
      </c>
      <c r="C172" s="11" t="s">
        <v>175</v>
      </c>
      <c r="D172" s="19" t="s">
        <v>50</v>
      </c>
      <c r="E172" s="19" t="s">
        <v>239</v>
      </c>
      <c r="F172" s="20">
        <v>42736</v>
      </c>
      <c r="G172" s="11">
        <v>36</v>
      </c>
      <c r="H172" s="13">
        <f t="shared" si="68"/>
        <v>5806.4516129032254</v>
      </c>
      <c r="I172" s="13">
        <f t="shared" si="76"/>
        <v>0</v>
      </c>
      <c r="J172" s="13">
        <f t="shared" si="77"/>
        <v>290.32258064516128</v>
      </c>
      <c r="L172" s="13">
        <f t="shared" si="85"/>
        <v>929.0322580645161</v>
      </c>
      <c r="N172" s="13">
        <f>((1950+1441+839+0)/G$3)*G172</f>
        <v>4912.2580645161288</v>
      </c>
      <c r="P172" s="13">
        <f t="shared" si="96"/>
        <v>11938.06451612903</v>
      </c>
      <c r="Q172" s="12">
        <f t="shared" si="70"/>
        <v>696.77419354838707</v>
      </c>
      <c r="R172" s="12">
        <f t="shared" si="84"/>
        <v>209</v>
      </c>
      <c r="S172" s="21">
        <v>0</v>
      </c>
      <c r="T172" s="13">
        <v>0</v>
      </c>
      <c r="U172" s="13">
        <f t="shared" ref="U172:U177" si="103">SUM(Q172:T172)</f>
        <v>905.77419354838707</v>
      </c>
      <c r="V172" s="13">
        <f t="shared" si="73"/>
        <v>11032.290322580644</v>
      </c>
      <c r="X172" s="13">
        <f t="shared" si="79"/>
        <v>11032.290322580644</v>
      </c>
      <c r="Y172" s="12">
        <f t="shared" si="80"/>
        <v>763.54838709677415</v>
      </c>
      <c r="Z172" s="12">
        <f t="shared" si="74"/>
        <v>568</v>
      </c>
      <c r="AA172" s="1">
        <f t="shared" si="81"/>
        <v>0</v>
      </c>
      <c r="AB172" s="16">
        <f t="shared" ref="AB172:AB177" si="104">SUM(Y172:AA172)</f>
        <v>1331.5483870967741</v>
      </c>
      <c r="AC172" s="16">
        <f t="shared" si="75"/>
        <v>13269.612903225805</v>
      </c>
    </row>
    <row r="173" spans="1:29" x14ac:dyDescent="0.2">
      <c r="A173" s="10" t="s">
        <v>226</v>
      </c>
      <c r="B173" s="11">
        <f t="shared" si="83"/>
        <v>168</v>
      </c>
      <c r="C173" s="11" t="s">
        <v>176</v>
      </c>
      <c r="D173" s="19" t="s">
        <v>50</v>
      </c>
      <c r="E173" s="19" t="s">
        <v>239</v>
      </c>
      <c r="F173" s="20">
        <v>42736</v>
      </c>
      <c r="G173" s="11">
        <v>37</v>
      </c>
      <c r="H173" s="13">
        <f t="shared" si="68"/>
        <v>5967.7419354838703</v>
      </c>
      <c r="I173" s="13">
        <f t="shared" si="76"/>
        <v>0</v>
      </c>
      <c r="J173" s="13">
        <f t="shared" si="77"/>
        <v>298.38709677419354</v>
      </c>
      <c r="L173" s="13">
        <f t="shared" si="85"/>
        <v>954.83870967741927</v>
      </c>
      <c r="N173" s="13">
        <f>((1950+1441+839+0)/G$3)*G173</f>
        <v>5048.7096774193542</v>
      </c>
      <c r="P173" s="13">
        <f t="shared" si="96"/>
        <v>12269.677419354837</v>
      </c>
      <c r="Q173" s="12">
        <f t="shared" si="70"/>
        <v>716.1290322580644</v>
      </c>
      <c r="R173" s="12">
        <f t="shared" si="84"/>
        <v>215</v>
      </c>
      <c r="S173" s="21">
        <v>0</v>
      </c>
      <c r="T173" s="13">
        <v>0</v>
      </c>
      <c r="U173" s="13">
        <f t="shared" si="103"/>
        <v>931.1290322580644</v>
      </c>
      <c r="V173" s="13">
        <f t="shared" si="73"/>
        <v>11338.548387096773</v>
      </c>
      <c r="X173" s="13">
        <f t="shared" si="79"/>
        <v>11338.548387096773</v>
      </c>
      <c r="Y173" s="12">
        <f t="shared" si="80"/>
        <v>784.75806451612902</v>
      </c>
      <c r="Z173" s="12">
        <f t="shared" si="74"/>
        <v>583</v>
      </c>
      <c r="AA173" s="1">
        <f t="shared" si="81"/>
        <v>0</v>
      </c>
      <c r="AB173" s="16">
        <f t="shared" si="104"/>
        <v>1367.758064516129</v>
      </c>
      <c r="AC173" s="16">
        <f t="shared" si="75"/>
        <v>13637.435483870966</v>
      </c>
    </row>
    <row r="174" spans="1:29" x14ac:dyDescent="0.2">
      <c r="A174" s="10" t="s">
        <v>227</v>
      </c>
      <c r="B174" s="11">
        <f t="shared" si="83"/>
        <v>169</v>
      </c>
      <c r="C174" s="11" t="s">
        <v>202</v>
      </c>
      <c r="D174" s="19" t="s">
        <v>50</v>
      </c>
      <c r="E174" s="19" t="s">
        <v>239</v>
      </c>
      <c r="F174" s="20">
        <v>42736</v>
      </c>
      <c r="G174" s="11">
        <v>36</v>
      </c>
      <c r="H174" s="13">
        <f t="shared" si="68"/>
        <v>5806.4516129032254</v>
      </c>
      <c r="I174" s="13">
        <f t="shared" si="76"/>
        <v>0</v>
      </c>
      <c r="J174" s="13">
        <f t="shared" si="77"/>
        <v>290.32258064516128</v>
      </c>
      <c r="L174" s="13">
        <f t="shared" si="85"/>
        <v>929.0322580645161</v>
      </c>
      <c r="N174" s="13">
        <f>((1950+1441+6641+814+0)/G$3)*G174</f>
        <v>12595.354838709678</v>
      </c>
      <c r="P174" s="13">
        <f t="shared" si="96"/>
        <v>19621.16129032258</v>
      </c>
      <c r="Q174" s="12">
        <f t="shared" si="70"/>
        <v>696.77419354838707</v>
      </c>
      <c r="R174" s="12">
        <f t="shared" si="84"/>
        <v>344</v>
      </c>
      <c r="S174" s="21">
        <v>0</v>
      </c>
      <c r="T174" s="13">
        <v>0</v>
      </c>
      <c r="U174" s="13">
        <f t="shared" si="103"/>
        <v>1040.7741935483871</v>
      </c>
      <c r="V174" s="13">
        <f t="shared" si="73"/>
        <v>18580.387096774193</v>
      </c>
      <c r="X174" s="13">
        <f t="shared" si="79"/>
        <v>18580.387096774193</v>
      </c>
      <c r="Y174" s="12">
        <f t="shared" si="80"/>
        <v>763.54838709677415</v>
      </c>
      <c r="Z174" s="12">
        <f t="shared" si="74"/>
        <v>933</v>
      </c>
      <c r="AA174" s="1">
        <f t="shared" si="81"/>
        <v>0</v>
      </c>
      <c r="AB174" s="16">
        <f t="shared" si="104"/>
        <v>1696.5483870967741</v>
      </c>
      <c r="AC174" s="16">
        <f t="shared" si="75"/>
        <v>21317.709677419352</v>
      </c>
    </row>
    <row r="175" spans="1:29" x14ac:dyDescent="0.2">
      <c r="A175" s="10" t="s">
        <v>228</v>
      </c>
      <c r="B175" s="11">
        <f t="shared" si="83"/>
        <v>170</v>
      </c>
      <c r="C175" s="11" t="s">
        <v>200</v>
      </c>
      <c r="D175" s="19" t="s">
        <v>50</v>
      </c>
      <c r="E175" s="19" t="s">
        <v>238</v>
      </c>
      <c r="F175" s="20">
        <v>42736</v>
      </c>
      <c r="G175" s="11">
        <v>31</v>
      </c>
      <c r="H175" s="13">
        <f t="shared" si="68"/>
        <v>5000</v>
      </c>
      <c r="I175" s="13">
        <f t="shared" si="76"/>
        <v>0</v>
      </c>
      <c r="J175" s="13">
        <f t="shared" si="77"/>
        <v>250</v>
      </c>
      <c r="L175" s="13">
        <f t="shared" si="85"/>
        <v>800</v>
      </c>
      <c r="N175" s="13">
        <f>((1950+1441+509+534+2417)/G$3)*G175</f>
        <v>6851</v>
      </c>
      <c r="P175" s="13">
        <f t="shared" si="96"/>
        <v>12901</v>
      </c>
      <c r="Q175" s="12">
        <f t="shared" si="70"/>
        <v>600</v>
      </c>
      <c r="R175" s="12">
        <f t="shared" si="84"/>
        <v>226</v>
      </c>
      <c r="S175" s="21">
        <v>0</v>
      </c>
      <c r="T175" s="13">
        <v>0</v>
      </c>
      <c r="U175" s="13">
        <f t="shared" si="103"/>
        <v>826</v>
      </c>
      <c r="V175" s="13">
        <f t="shared" si="73"/>
        <v>12075</v>
      </c>
      <c r="X175" s="13">
        <f t="shared" si="79"/>
        <v>12075</v>
      </c>
      <c r="Y175" s="12">
        <f t="shared" si="80"/>
        <v>657.5</v>
      </c>
      <c r="Z175" s="12">
        <f t="shared" si="74"/>
        <v>613</v>
      </c>
      <c r="AA175" s="1">
        <f t="shared" si="81"/>
        <v>0</v>
      </c>
      <c r="AB175" s="16">
        <f t="shared" si="104"/>
        <v>1270.5</v>
      </c>
      <c r="AC175" s="16">
        <f t="shared" si="75"/>
        <v>14171.5</v>
      </c>
    </row>
    <row r="176" spans="1:29" x14ac:dyDescent="0.2">
      <c r="A176" s="10" t="s">
        <v>229</v>
      </c>
      <c r="B176" s="11">
        <f t="shared" si="83"/>
        <v>171</v>
      </c>
      <c r="C176" s="11" t="s">
        <v>199</v>
      </c>
      <c r="D176" s="19" t="s">
        <v>50</v>
      </c>
      <c r="E176" s="19" t="s">
        <v>240</v>
      </c>
      <c r="F176" s="20">
        <v>42736</v>
      </c>
      <c r="G176" s="11">
        <v>32</v>
      </c>
      <c r="H176" s="13">
        <f t="shared" si="68"/>
        <v>5161.2903225806449</v>
      </c>
      <c r="I176" s="13">
        <f t="shared" si="76"/>
        <v>0</v>
      </c>
      <c r="J176" s="13">
        <f t="shared" si="77"/>
        <v>258.06451612903226</v>
      </c>
      <c r="L176" s="13">
        <f t="shared" si="85"/>
        <v>825.80645161290317</v>
      </c>
      <c r="N176" s="13">
        <f>((6979+814+0)/G$3)*G176</f>
        <v>8044.3870967741932</v>
      </c>
      <c r="P176" s="13">
        <f t="shared" si="96"/>
        <v>14289.548387096773</v>
      </c>
      <c r="Q176" s="12">
        <f t="shared" si="70"/>
        <v>619.35483870967732</v>
      </c>
      <c r="R176" s="12">
        <f t="shared" si="84"/>
        <v>251</v>
      </c>
      <c r="S176" s="21">
        <v>0</v>
      </c>
      <c r="T176" s="13">
        <v>0</v>
      </c>
      <c r="U176" s="13">
        <f t="shared" si="103"/>
        <v>870.35483870967732</v>
      </c>
      <c r="V176" s="13">
        <f t="shared" si="73"/>
        <v>13419.193548387095</v>
      </c>
      <c r="X176" s="13">
        <f t="shared" si="79"/>
        <v>13419.193548387095</v>
      </c>
      <c r="Y176" s="12">
        <f t="shared" si="80"/>
        <v>678.70967741935488</v>
      </c>
      <c r="Z176" s="12">
        <f t="shared" si="74"/>
        <v>679</v>
      </c>
      <c r="AA176" s="1">
        <f t="shared" si="81"/>
        <v>0</v>
      </c>
      <c r="AB176" s="16">
        <f t="shared" si="104"/>
        <v>1357.7096774193549</v>
      </c>
      <c r="AC176" s="16">
        <f t="shared" si="75"/>
        <v>15647.258064516127</v>
      </c>
    </row>
    <row r="177" spans="1:29" x14ac:dyDescent="0.2">
      <c r="A177" s="10" t="s">
        <v>333</v>
      </c>
      <c r="B177" s="11">
        <f t="shared" si="83"/>
        <v>172</v>
      </c>
      <c r="C177" s="11" t="s">
        <v>427</v>
      </c>
      <c r="D177" s="19" t="s">
        <v>50</v>
      </c>
      <c r="E177" s="19" t="s">
        <v>234</v>
      </c>
      <c r="F177" s="20">
        <v>42796</v>
      </c>
      <c r="G177" s="11">
        <v>37</v>
      </c>
      <c r="H177" s="13">
        <f t="shared" si="68"/>
        <v>5967.7419354838703</v>
      </c>
      <c r="I177" s="13">
        <f t="shared" si="76"/>
        <v>0</v>
      </c>
      <c r="J177" s="13">
        <f t="shared" si="77"/>
        <v>298.38709677419354</v>
      </c>
      <c r="L177" s="13">
        <f t="shared" si="85"/>
        <v>954.83870967741927</v>
      </c>
      <c r="N177" s="13">
        <f>((5197+1120)/G$3)*G177</f>
        <v>7539.6451612903229</v>
      </c>
      <c r="P177" s="13">
        <f t="shared" si="96"/>
        <v>14760.612903225807</v>
      </c>
      <c r="Q177" s="12">
        <f t="shared" si="70"/>
        <v>716.1290322580644</v>
      </c>
      <c r="R177" s="12">
        <f t="shared" si="84"/>
        <v>259</v>
      </c>
      <c r="S177" s="21">
        <v>0</v>
      </c>
      <c r="T177" s="13">
        <v>0</v>
      </c>
      <c r="U177" s="13">
        <f t="shared" si="103"/>
        <v>975.1290322580644</v>
      </c>
      <c r="V177" s="13">
        <f t="shared" si="73"/>
        <v>13785.483870967742</v>
      </c>
      <c r="X177" s="13">
        <f t="shared" si="79"/>
        <v>13785.483870967742</v>
      </c>
      <c r="Y177" s="12">
        <f t="shared" si="80"/>
        <v>784.75806451612902</v>
      </c>
      <c r="Z177" s="12">
        <f t="shared" si="74"/>
        <v>702</v>
      </c>
      <c r="AA177" s="1">
        <f t="shared" si="81"/>
        <v>0</v>
      </c>
      <c r="AB177" s="16">
        <f t="shared" si="104"/>
        <v>1486.758064516129</v>
      </c>
      <c r="AC177" s="16">
        <f t="shared" si="75"/>
        <v>16247.370967741936</v>
      </c>
    </row>
    <row r="178" spans="1:29" x14ac:dyDescent="0.2">
      <c r="A178" s="10" t="s">
        <v>219</v>
      </c>
      <c r="B178" s="11">
        <f t="shared" si="83"/>
        <v>173</v>
      </c>
      <c r="C178" s="11" t="s">
        <v>220</v>
      </c>
      <c r="D178" s="19" t="s">
        <v>50</v>
      </c>
      <c r="E178" s="19" t="s">
        <v>234</v>
      </c>
      <c r="F178" s="20">
        <v>42767</v>
      </c>
      <c r="G178" s="11">
        <v>32</v>
      </c>
      <c r="H178" s="13">
        <f t="shared" si="68"/>
        <v>5161.2903225806449</v>
      </c>
      <c r="I178" s="13">
        <f t="shared" si="76"/>
        <v>0</v>
      </c>
      <c r="J178" s="13">
        <f t="shared" si="77"/>
        <v>258.06451612903226</v>
      </c>
      <c r="L178" s="13">
        <f t="shared" si="85"/>
        <v>825.80645161290317</v>
      </c>
      <c r="N178" s="13">
        <f>((5197+1120)/G$3)*G178</f>
        <v>6520.7741935483873</v>
      </c>
      <c r="P178" s="13">
        <f t="shared" si="96"/>
        <v>12765.935483870968</v>
      </c>
      <c r="Q178" s="12">
        <f t="shared" si="70"/>
        <v>619.35483870967732</v>
      </c>
      <c r="R178" s="12">
        <f t="shared" si="84"/>
        <v>224</v>
      </c>
      <c r="S178" s="21">
        <v>0</v>
      </c>
      <c r="T178" s="13">
        <v>0</v>
      </c>
      <c r="U178" s="13">
        <f t="shared" ref="U178:U194" si="105">SUM(Q178:T178)</f>
        <v>843.35483870967732</v>
      </c>
      <c r="V178" s="13">
        <f t="shared" si="73"/>
        <v>11922.58064516129</v>
      </c>
      <c r="X178" s="13">
        <f t="shared" si="79"/>
        <v>11922.58064516129</v>
      </c>
      <c r="Y178" s="12">
        <f t="shared" si="80"/>
        <v>678.70967741935488</v>
      </c>
      <c r="Z178" s="12">
        <f t="shared" si="74"/>
        <v>607</v>
      </c>
      <c r="AA178" s="1">
        <f t="shared" si="81"/>
        <v>0</v>
      </c>
      <c r="AB178" s="16">
        <f t="shared" ref="AB178:AB194" si="106">SUM(Y178:AA178)</f>
        <v>1285.7096774193549</v>
      </c>
      <c r="AC178" s="16">
        <f t="shared" si="75"/>
        <v>14051.645161290322</v>
      </c>
    </row>
    <row r="179" spans="1:29" x14ac:dyDescent="0.2">
      <c r="A179" s="10" t="s">
        <v>82</v>
      </c>
      <c r="B179" s="11">
        <f t="shared" si="83"/>
        <v>174</v>
      </c>
      <c r="C179" s="11" t="s">
        <v>34</v>
      </c>
      <c r="D179" s="19" t="s">
        <v>50</v>
      </c>
      <c r="E179" s="19" t="s">
        <v>240</v>
      </c>
      <c r="F179" s="20">
        <v>42767</v>
      </c>
      <c r="G179" s="11">
        <v>26</v>
      </c>
      <c r="H179" s="13">
        <f t="shared" si="68"/>
        <v>4193.5483870967737</v>
      </c>
      <c r="I179" s="13">
        <f t="shared" si="76"/>
        <v>0</v>
      </c>
      <c r="J179" s="13">
        <f t="shared" si="77"/>
        <v>209.67741935483869</v>
      </c>
      <c r="L179" s="13">
        <f t="shared" si="85"/>
        <v>670.96774193548379</v>
      </c>
      <c r="N179" s="13">
        <f>((1950+1441+3588+3328)/G$3)*G179</f>
        <v>8644.5806451612916</v>
      </c>
      <c r="P179" s="13">
        <f t="shared" si="96"/>
        <v>13718.774193548388</v>
      </c>
      <c r="Q179" s="12">
        <f t="shared" si="70"/>
        <v>503.22580645161281</v>
      </c>
      <c r="R179" s="12">
        <f t="shared" si="84"/>
        <v>241</v>
      </c>
      <c r="S179" s="21">
        <v>0</v>
      </c>
      <c r="T179" s="13">
        <v>0</v>
      </c>
      <c r="U179" s="13">
        <f t="shared" si="105"/>
        <v>744.22580645161281</v>
      </c>
      <c r="V179" s="13">
        <f t="shared" si="73"/>
        <v>12974.548387096775</v>
      </c>
      <c r="X179" s="13">
        <f t="shared" si="79"/>
        <v>12974.548387096775</v>
      </c>
      <c r="Y179" s="12">
        <f t="shared" si="80"/>
        <v>551.45161290322574</v>
      </c>
      <c r="Z179" s="12">
        <f t="shared" si="74"/>
        <v>652</v>
      </c>
      <c r="AA179" s="1">
        <f t="shared" si="81"/>
        <v>0</v>
      </c>
      <c r="AB179" s="16">
        <f t="shared" si="106"/>
        <v>1203.4516129032259</v>
      </c>
      <c r="AC179" s="16">
        <f t="shared" si="75"/>
        <v>14922.225806451614</v>
      </c>
    </row>
    <row r="180" spans="1:29" x14ac:dyDescent="0.2">
      <c r="A180" s="10" t="s">
        <v>267</v>
      </c>
      <c r="B180" s="11">
        <f t="shared" si="83"/>
        <v>175</v>
      </c>
      <c r="C180" s="11" t="s">
        <v>204</v>
      </c>
      <c r="D180" s="19" t="s">
        <v>50</v>
      </c>
      <c r="E180" s="19" t="s">
        <v>240</v>
      </c>
      <c r="F180" s="20">
        <v>42767</v>
      </c>
      <c r="G180" s="11">
        <v>37</v>
      </c>
      <c r="H180" s="13">
        <f t="shared" si="68"/>
        <v>5967.7419354838703</v>
      </c>
      <c r="I180" s="13">
        <f t="shared" si="76"/>
        <v>0</v>
      </c>
      <c r="J180" s="13">
        <f t="shared" si="77"/>
        <v>298.38709677419354</v>
      </c>
      <c r="L180" s="13">
        <f t="shared" si="85"/>
        <v>954.83870967741927</v>
      </c>
      <c r="N180" s="13">
        <f>((1950+1441+839+0)/G$3)*G180</f>
        <v>5048.7096774193542</v>
      </c>
      <c r="P180" s="13">
        <f t="shared" si="96"/>
        <v>12269.677419354837</v>
      </c>
      <c r="Q180" s="12">
        <f t="shared" si="70"/>
        <v>716.1290322580644</v>
      </c>
      <c r="R180" s="12">
        <f t="shared" si="84"/>
        <v>215</v>
      </c>
      <c r="S180" s="21">
        <v>0</v>
      </c>
      <c r="T180" s="13">
        <v>0</v>
      </c>
      <c r="U180" s="13">
        <f t="shared" si="105"/>
        <v>931.1290322580644</v>
      </c>
      <c r="V180" s="13">
        <f t="shared" si="73"/>
        <v>11338.548387096773</v>
      </c>
      <c r="X180" s="13">
        <f t="shared" si="79"/>
        <v>11338.548387096773</v>
      </c>
      <c r="Y180" s="12">
        <f t="shared" si="80"/>
        <v>784.75806451612902</v>
      </c>
      <c r="Z180" s="12">
        <f t="shared" si="74"/>
        <v>583</v>
      </c>
      <c r="AA180" s="1">
        <f t="shared" si="81"/>
        <v>0</v>
      </c>
      <c r="AB180" s="16">
        <f t="shared" si="106"/>
        <v>1367.758064516129</v>
      </c>
      <c r="AC180" s="16">
        <f t="shared" si="75"/>
        <v>13637.435483870966</v>
      </c>
    </row>
    <row r="181" spans="1:29" x14ac:dyDescent="0.2">
      <c r="A181" s="10" t="s">
        <v>268</v>
      </c>
      <c r="B181" s="11">
        <f t="shared" si="83"/>
        <v>176</v>
      </c>
      <c r="C181" s="11" t="s">
        <v>205</v>
      </c>
      <c r="D181" s="19" t="s">
        <v>50</v>
      </c>
      <c r="E181" s="19" t="s">
        <v>240</v>
      </c>
      <c r="F181" s="20">
        <v>42767</v>
      </c>
      <c r="G181" s="11">
        <v>37</v>
      </c>
      <c r="H181" s="13">
        <f t="shared" si="68"/>
        <v>5967.7419354838703</v>
      </c>
      <c r="I181" s="13">
        <f t="shared" si="76"/>
        <v>0</v>
      </c>
      <c r="J181" s="13">
        <f t="shared" si="77"/>
        <v>298.38709677419354</v>
      </c>
      <c r="L181" s="13">
        <f t="shared" si="85"/>
        <v>954.83870967741927</v>
      </c>
      <c r="N181" s="13">
        <f>((1950+1441+839+0)/G$3)*G181</f>
        <v>5048.7096774193542</v>
      </c>
      <c r="P181" s="13">
        <f t="shared" si="96"/>
        <v>12269.677419354837</v>
      </c>
      <c r="Q181" s="12">
        <f t="shared" si="70"/>
        <v>716.1290322580644</v>
      </c>
      <c r="R181" s="12">
        <f t="shared" si="84"/>
        <v>215</v>
      </c>
      <c r="S181" s="21">
        <v>0</v>
      </c>
      <c r="T181" s="13">
        <v>0</v>
      </c>
      <c r="U181" s="13">
        <f t="shared" si="105"/>
        <v>931.1290322580644</v>
      </c>
      <c r="V181" s="13">
        <f t="shared" si="73"/>
        <v>11338.548387096773</v>
      </c>
      <c r="X181" s="13">
        <f t="shared" si="79"/>
        <v>11338.548387096773</v>
      </c>
      <c r="Y181" s="12">
        <f t="shared" si="80"/>
        <v>784.75806451612902</v>
      </c>
      <c r="Z181" s="12">
        <f t="shared" si="74"/>
        <v>583</v>
      </c>
      <c r="AA181" s="1">
        <f t="shared" si="81"/>
        <v>0</v>
      </c>
      <c r="AB181" s="16">
        <f t="shared" si="106"/>
        <v>1367.758064516129</v>
      </c>
      <c r="AC181" s="16">
        <f t="shared" si="75"/>
        <v>13637.435483870966</v>
      </c>
    </row>
    <row r="182" spans="1:29" x14ac:dyDescent="0.2">
      <c r="A182" s="10" t="s">
        <v>269</v>
      </c>
      <c r="B182" s="11">
        <f t="shared" si="83"/>
        <v>177</v>
      </c>
      <c r="C182" s="11" t="s">
        <v>206</v>
      </c>
      <c r="D182" s="19" t="s">
        <v>50</v>
      </c>
      <c r="E182" s="19" t="s">
        <v>238</v>
      </c>
      <c r="F182" s="20">
        <v>42767</v>
      </c>
      <c r="G182" s="11">
        <v>34</v>
      </c>
      <c r="H182" s="13">
        <f t="shared" si="68"/>
        <v>5483.8709677419356</v>
      </c>
      <c r="I182" s="13">
        <f t="shared" si="76"/>
        <v>0</v>
      </c>
      <c r="J182" s="13">
        <f t="shared" si="77"/>
        <v>274.19354838709677</v>
      </c>
      <c r="L182" s="13">
        <f t="shared" si="85"/>
        <v>877.41935483870964</v>
      </c>
      <c r="N182" s="13">
        <f>((1950+1441+1043+814+0)/G$3)*G182</f>
        <v>5755.8709677419356</v>
      </c>
      <c r="P182" s="13">
        <f t="shared" si="96"/>
        <v>12391.354838709678</v>
      </c>
      <c r="Q182" s="12">
        <f t="shared" si="70"/>
        <v>658.0645161290322</v>
      </c>
      <c r="R182" s="12">
        <f t="shared" si="84"/>
        <v>217</v>
      </c>
      <c r="S182" s="21">
        <v>0</v>
      </c>
      <c r="T182" s="13">
        <v>0</v>
      </c>
      <c r="U182" s="13">
        <f t="shared" si="105"/>
        <v>875.0645161290322</v>
      </c>
      <c r="V182" s="13">
        <f t="shared" si="73"/>
        <v>11516.290322580646</v>
      </c>
      <c r="X182" s="13">
        <f t="shared" si="79"/>
        <v>11516.290322580646</v>
      </c>
      <c r="Y182" s="12">
        <f t="shared" si="80"/>
        <v>721.12903225806451</v>
      </c>
      <c r="Z182" s="12">
        <f t="shared" si="74"/>
        <v>589</v>
      </c>
      <c r="AA182" s="1">
        <f t="shared" si="81"/>
        <v>0</v>
      </c>
      <c r="AB182" s="16">
        <f t="shared" si="106"/>
        <v>1310.1290322580644</v>
      </c>
      <c r="AC182" s="16">
        <f t="shared" si="75"/>
        <v>13701.483870967742</v>
      </c>
    </row>
    <row r="183" spans="1:29" x14ac:dyDescent="0.2">
      <c r="A183" s="10" t="s">
        <v>270</v>
      </c>
      <c r="B183" s="11">
        <f t="shared" si="83"/>
        <v>178</v>
      </c>
      <c r="C183" s="11" t="s">
        <v>207</v>
      </c>
      <c r="D183" s="19" t="s">
        <v>50</v>
      </c>
      <c r="E183" s="19" t="s">
        <v>238</v>
      </c>
      <c r="F183" s="20">
        <v>42767</v>
      </c>
      <c r="G183" s="11">
        <v>36</v>
      </c>
      <c r="H183" s="13">
        <f t="shared" si="68"/>
        <v>5806.4516129032254</v>
      </c>
      <c r="I183" s="13">
        <f t="shared" si="76"/>
        <v>0</v>
      </c>
      <c r="J183" s="13">
        <f t="shared" si="77"/>
        <v>290.32258064516128</v>
      </c>
      <c r="L183" s="13">
        <f t="shared" si="85"/>
        <v>929.0322580645161</v>
      </c>
      <c r="N183" s="13">
        <f>((1950+1441+1043+814+0)/G$3)*G183</f>
        <v>6094.4516129032254</v>
      </c>
      <c r="P183" s="13">
        <f t="shared" si="96"/>
        <v>13120.258064516129</v>
      </c>
      <c r="Q183" s="12">
        <f t="shared" si="70"/>
        <v>696.77419354838707</v>
      </c>
      <c r="R183" s="12">
        <f t="shared" si="84"/>
        <v>230</v>
      </c>
      <c r="S183" s="21">
        <v>0</v>
      </c>
      <c r="T183" s="13">
        <v>0</v>
      </c>
      <c r="U183" s="13">
        <f t="shared" si="105"/>
        <v>926.77419354838707</v>
      </c>
      <c r="V183" s="13">
        <f t="shared" si="73"/>
        <v>12193.483870967742</v>
      </c>
      <c r="X183" s="13">
        <f t="shared" si="79"/>
        <v>12193.483870967742</v>
      </c>
      <c r="Y183" s="12">
        <f t="shared" si="80"/>
        <v>763.54838709677415</v>
      </c>
      <c r="Z183" s="12">
        <f t="shared" si="74"/>
        <v>624</v>
      </c>
      <c r="AA183" s="1">
        <f t="shared" si="81"/>
        <v>0</v>
      </c>
      <c r="AB183" s="16">
        <f t="shared" si="106"/>
        <v>1387.5483870967741</v>
      </c>
      <c r="AC183" s="16">
        <f t="shared" si="75"/>
        <v>14507.806451612903</v>
      </c>
    </row>
    <row r="184" spans="1:29" x14ac:dyDescent="0.2">
      <c r="A184" s="10" t="s">
        <v>271</v>
      </c>
      <c r="B184" s="11">
        <f t="shared" si="83"/>
        <v>179</v>
      </c>
      <c r="C184" s="11" t="s">
        <v>208</v>
      </c>
      <c r="D184" s="19" t="s">
        <v>50</v>
      </c>
      <c r="E184" s="19" t="s">
        <v>242</v>
      </c>
      <c r="F184" s="20">
        <v>42767</v>
      </c>
      <c r="G184" s="11">
        <v>33</v>
      </c>
      <c r="H184" s="13">
        <f t="shared" si="68"/>
        <v>5322.5806451612898</v>
      </c>
      <c r="I184" s="13">
        <f t="shared" si="76"/>
        <v>0</v>
      </c>
      <c r="J184" s="13">
        <f t="shared" si="77"/>
        <v>266.12903225806451</v>
      </c>
      <c r="L184" s="13">
        <f t="shared" si="85"/>
        <v>851.61290322580635</v>
      </c>
      <c r="N184" s="13">
        <f>((1950+1441+839+0)/G$3)*G184</f>
        <v>4502.9032258064508</v>
      </c>
      <c r="P184" s="13">
        <f t="shared" si="96"/>
        <v>10943.225806451612</v>
      </c>
      <c r="Q184" s="12">
        <f t="shared" si="70"/>
        <v>638.70967741935476</v>
      </c>
      <c r="R184" s="12">
        <f t="shared" si="84"/>
        <v>192</v>
      </c>
      <c r="S184" s="21">
        <v>0</v>
      </c>
      <c r="T184" s="13">
        <v>0</v>
      </c>
      <c r="U184" s="13">
        <f t="shared" si="105"/>
        <v>830.70967741935476</v>
      </c>
      <c r="V184" s="13">
        <f t="shared" si="73"/>
        <v>10112.516129032258</v>
      </c>
      <c r="X184" s="13">
        <f t="shared" si="79"/>
        <v>10112.516129032258</v>
      </c>
      <c r="Y184" s="12">
        <f t="shared" si="80"/>
        <v>699.91935483870964</v>
      </c>
      <c r="Z184" s="12">
        <f t="shared" si="74"/>
        <v>520</v>
      </c>
      <c r="AA184" s="1">
        <f t="shared" si="81"/>
        <v>0</v>
      </c>
      <c r="AB184" s="16">
        <f t="shared" si="106"/>
        <v>1219.9193548387098</v>
      </c>
      <c r="AC184" s="16">
        <f t="shared" si="75"/>
        <v>12163.145161290322</v>
      </c>
    </row>
    <row r="185" spans="1:29" x14ac:dyDescent="0.2">
      <c r="A185" s="10" t="s">
        <v>272</v>
      </c>
      <c r="B185" s="11">
        <f t="shared" si="83"/>
        <v>180</v>
      </c>
      <c r="C185" s="11" t="s">
        <v>428</v>
      </c>
      <c r="D185" s="19" t="s">
        <v>50</v>
      </c>
      <c r="E185" s="19" t="s">
        <v>234</v>
      </c>
      <c r="F185" s="20">
        <v>42767</v>
      </c>
      <c r="G185" s="11">
        <v>36</v>
      </c>
      <c r="H185" s="13">
        <f t="shared" si="68"/>
        <v>5806.4516129032254</v>
      </c>
      <c r="I185" s="13">
        <f t="shared" si="76"/>
        <v>0</v>
      </c>
      <c r="J185" s="13">
        <f t="shared" si="77"/>
        <v>290.32258064516128</v>
      </c>
      <c r="L185" s="13">
        <f t="shared" si="85"/>
        <v>929.0322580645161</v>
      </c>
      <c r="N185" s="13">
        <f>((1950+1441+1043+814+0)/G$3)*G185</f>
        <v>6094.4516129032254</v>
      </c>
      <c r="P185" s="13">
        <f t="shared" si="96"/>
        <v>13120.258064516129</v>
      </c>
      <c r="Q185" s="12">
        <f t="shared" si="70"/>
        <v>696.77419354838707</v>
      </c>
      <c r="R185" s="12">
        <f t="shared" si="84"/>
        <v>230</v>
      </c>
      <c r="S185" s="21">
        <v>0</v>
      </c>
      <c r="T185" s="13">
        <v>0</v>
      </c>
      <c r="U185" s="13">
        <f t="shared" si="105"/>
        <v>926.77419354838707</v>
      </c>
      <c r="V185" s="13">
        <f t="shared" si="73"/>
        <v>12193.483870967742</v>
      </c>
      <c r="X185" s="13">
        <f t="shared" si="79"/>
        <v>12193.483870967742</v>
      </c>
      <c r="Y185" s="12">
        <f t="shared" si="80"/>
        <v>763.54838709677415</v>
      </c>
      <c r="Z185" s="12">
        <f t="shared" si="74"/>
        <v>624</v>
      </c>
      <c r="AA185" s="1">
        <f t="shared" si="81"/>
        <v>0</v>
      </c>
      <c r="AB185" s="16">
        <f t="shared" si="106"/>
        <v>1387.5483870967741</v>
      </c>
      <c r="AC185" s="16">
        <f t="shared" si="75"/>
        <v>14507.806451612903</v>
      </c>
    </row>
    <row r="186" spans="1:29" x14ac:dyDescent="0.2">
      <c r="A186" s="10" t="s">
        <v>273</v>
      </c>
      <c r="B186" s="11">
        <f t="shared" si="83"/>
        <v>181</v>
      </c>
      <c r="C186" s="11" t="s">
        <v>209</v>
      </c>
      <c r="D186" s="19" t="s">
        <v>50</v>
      </c>
      <c r="E186" s="19" t="s">
        <v>241</v>
      </c>
      <c r="F186" s="20">
        <v>42767</v>
      </c>
      <c r="G186" s="11">
        <v>37</v>
      </c>
      <c r="H186" s="13">
        <f t="shared" si="68"/>
        <v>5967.7419354838703</v>
      </c>
      <c r="I186" s="13">
        <f t="shared" si="76"/>
        <v>0</v>
      </c>
      <c r="J186" s="13">
        <f t="shared" si="77"/>
        <v>298.38709677419354</v>
      </c>
      <c r="L186" s="13">
        <f t="shared" si="85"/>
        <v>954.83870967741927</v>
      </c>
      <c r="N186" s="13">
        <f>((1950+1441+839+0)/G$3)*G186</f>
        <v>5048.7096774193542</v>
      </c>
      <c r="P186" s="13">
        <f t="shared" si="96"/>
        <v>12269.677419354837</v>
      </c>
      <c r="Q186" s="12">
        <f t="shared" si="70"/>
        <v>716.1290322580644</v>
      </c>
      <c r="R186" s="12">
        <f t="shared" si="84"/>
        <v>215</v>
      </c>
      <c r="S186" s="21">
        <v>0</v>
      </c>
      <c r="T186" s="13">
        <v>0</v>
      </c>
      <c r="U186" s="13">
        <f t="shared" si="105"/>
        <v>931.1290322580644</v>
      </c>
      <c r="V186" s="13">
        <f t="shared" si="73"/>
        <v>11338.548387096773</v>
      </c>
      <c r="X186" s="13">
        <f t="shared" si="79"/>
        <v>11338.548387096773</v>
      </c>
      <c r="Y186" s="12">
        <f t="shared" si="80"/>
        <v>784.75806451612902</v>
      </c>
      <c r="Z186" s="12">
        <f t="shared" si="74"/>
        <v>583</v>
      </c>
      <c r="AA186" s="1">
        <f t="shared" si="81"/>
        <v>0</v>
      </c>
      <c r="AB186" s="16">
        <f t="shared" si="106"/>
        <v>1367.758064516129</v>
      </c>
      <c r="AC186" s="16">
        <f t="shared" si="75"/>
        <v>13637.435483870966</v>
      </c>
    </row>
    <row r="187" spans="1:29" x14ac:dyDescent="0.2">
      <c r="A187" s="10" t="s">
        <v>274</v>
      </c>
      <c r="B187" s="11">
        <f t="shared" si="83"/>
        <v>182</v>
      </c>
      <c r="C187" s="11" t="s">
        <v>210</v>
      </c>
      <c r="D187" s="19" t="s">
        <v>50</v>
      </c>
      <c r="E187" s="19" t="s">
        <v>708</v>
      </c>
      <c r="F187" s="20">
        <v>42767</v>
      </c>
      <c r="G187" s="11">
        <v>36</v>
      </c>
      <c r="H187" s="13">
        <f t="shared" si="68"/>
        <v>5806.4516129032254</v>
      </c>
      <c r="I187" s="13">
        <f t="shared" si="76"/>
        <v>0</v>
      </c>
      <c r="J187" s="13">
        <f t="shared" si="77"/>
        <v>290.32258064516128</v>
      </c>
      <c r="L187" s="13">
        <f t="shared" si="85"/>
        <v>929.0322580645161</v>
      </c>
      <c r="N187" s="13">
        <f>((1950+1441+839+0)/G$3)*G187</f>
        <v>4912.2580645161288</v>
      </c>
      <c r="P187" s="13">
        <f t="shared" si="96"/>
        <v>11938.06451612903</v>
      </c>
      <c r="Q187" s="12">
        <f t="shared" si="70"/>
        <v>696.77419354838707</v>
      </c>
      <c r="R187" s="12">
        <f t="shared" si="84"/>
        <v>209</v>
      </c>
      <c r="S187" s="21">
        <v>0</v>
      </c>
      <c r="T187" s="13">
        <v>0</v>
      </c>
      <c r="U187" s="13">
        <f t="shared" si="105"/>
        <v>905.77419354838707</v>
      </c>
      <c r="V187" s="13">
        <f t="shared" si="73"/>
        <v>11032.290322580644</v>
      </c>
      <c r="X187" s="13">
        <f t="shared" si="79"/>
        <v>11032.290322580644</v>
      </c>
      <c r="Y187" s="12">
        <f t="shared" si="80"/>
        <v>763.54838709677415</v>
      </c>
      <c r="Z187" s="12">
        <f t="shared" si="74"/>
        <v>568</v>
      </c>
      <c r="AA187" s="1">
        <f t="shared" si="81"/>
        <v>0</v>
      </c>
      <c r="AB187" s="16">
        <f t="shared" si="106"/>
        <v>1331.5483870967741</v>
      </c>
      <c r="AC187" s="16">
        <f t="shared" si="75"/>
        <v>13269.612903225805</v>
      </c>
    </row>
    <row r="188" spans="1:29" x14ac:dyDescent="0.2">
      <c r="A188" s="10" t="s">
        <v>276</v>
      </c>
      <c r="B188" s="11">
        <f t="shared" si="83"/>
        <v>183</v>
      </c>
      <c r="C188" s="11" t="s">
        <v>211</v>
      </c>
      <c r="D188" s="19" t="s">
        <v>50</v>
      </c>
      <c r="E188" s="19" t="s">
        <v>484</v>
      </c>
      <c r="F188" s="20">
        <v>42767</v>
      </c>
      <c r="G188" s="11">
        <v>37</v>
      </c>
      <c r="H188" s="13">
        <f t="shared" si="68"/>
        <v>5967.7419354838703</v>
      </c>
      <c r="I188" s="13">
        <f t="shared" si="76"/>
        <v>0</v>
      </c>
      <c r="J188" s="13">
        <f t="shared" si="77"/>
        <v>298.38709677419354</v>
      </c>
      <c r="L188" s="13">
        <f t="shared" si="85"/>
        <v>954.83870967741927</v>
      </c>
      <c r="N188" s="13">
        <f>((1950+1441+1043+0)/G$3)*G188</f>
        <v>5292.1935483870966</v>
      </c>
      <c r="P188" s="13">
        <f t="shared" si="96"/>
        <v>12513.16129032258</v>
      </c>
      <c r="Q188" s="12">
        <f t="shared" si="70"/>
        <v>716.1290322580644</v>
      </c>
      <c r="R188" s="12">
        <f t="shared" si="84"/>
        <v>219</v>
      </c>
      <c r="S188" s="21">
        <v>0</v>
      </c>
      <c r="T188" s="13">
        <v>0</v>
      </c>
      <c r="U188" s="13">
        <f t="shared" si="105"/>
        <v>935.1290322580644</v>
      </c>
      <c r="V188" s="13">
        <f t="shared" si="73"/>
        <v>11578.032258064515</v>
      </c>
      <c r="X188" s="13">
        <f t="shared" si="79"/>
        <v>11578.032258064515</v>
      </c>
      <c r="Y188" s="12">
        <f t="shared" si="80"/>
        <v>784.75806451612902</v>
      </c>
      <c r="Z188" s="12">
        <f t="shared" si="74"/>
        <v>595</v>
      </c>
      <c r="AA188" s="1">
        <f t="shared" si="81"/>
        <v>0</v>
      </c>
      <c r="AB188" s="16">
        <f t="shared" si="106"/>
        <v>1379.758064516129</v>
      </c>
      <c r="AC188" s="16">
        <f t="shared" si="75"/>
        <v>13892.919354838708</v>
      </c>
    </row>
    <row r="189" spans="1:29" x14ac:dyDescent="0.2">
      <c r="A189" s="10" t="s">
        <v>277</v>
      </c>
      <c r="B189" s="11">
        <f t="shared" si="83"/>
        <v>184</v>
      </c>
      <c r="C189" s="11" t="s">
        <v>212</v>
      </c>
      <c r="D189" s="19" t="s">
        <v>50</v>
      </c>
      <c r="E189" s="19" t="s">
        <v>484</v>
      </c>
      <c r="F189" s="20">
        <v>42767</v>
      </c>
      <c r="G189" s="11">
        <v>35</v>
      </c>
      <c r="H189" s="13">
        <f t="shared" si="68"/>
        <v>5645.1612903225805</v>
      </c>
      <c r="I189" s="13">
        <f t="shared" si="76"/>
        <v>0</v>
      </c>
      <c r="J189" s="13">
        <f t="shared" si="77"/>
        <v>282.25806451612902</v>
      </c>
      <c r="L189" s="13">
        <f t="shared" si="85"/>
        <v>903.22580645161281</v>
      </c>
      <c r="N189" s="13">
        <f>((1950+1441+1043+0)/G$3)*G189</f>
        <v>5006.1290322580644</v>
      </c>
      <c r="P189" s="13">
        <f t="shared" si="96"/>
        <v>11836.774193548386</v>
      </c>
      <c r="Q189" s="12">
        <f t="shared" si="70"/>
        <v>677.41935483870964</v>
      </c>
      <c r="R189" s="12">
        <f t="shared" si="84"/>
        <v>208</v>
      </c>
      <c r="S189" s="21">
        <v>0</v>
      </c>
      <c r="T189" s="13">
        <v>0</v>
      </c>
      <c r="U189" s="13">
        <f t="shared" si="105"/>
        <v>885.41935483870964</v>
      </c>
      <c r="V189" s="13">
        <f t="shared" si="73"/>
        <v>10951.354838709676</v>
      </c>
      <c r="X189" s="13">
        <f t="shared" si="79"/>
        <v>10951.354838709676</v>
      </c>
      <c r="Y189" s="12">
        <f t="shared" si="80"/>
        <v>742.33870967741939</v>
      </c>
      <c r="Z189" s="12">
        <f t="shared" si="74"/>
        <v>563</v>
      </c>
      <c r="AA189" s="1">
        <f t="shared" si="81"/>
        <v>0</v>
      </c>
      <c r="AB189" s="16">
        <f t="shared" si="106"/>
        <v>1305.3387096774195</v>
      </c>
      <c r="AC189" s="16">
        <f t="shared" si="75"/>
        <v>13142.112903225807</v>
      </c>
    </row>
    <row r="190" spans="1:29" x14ac:dyDescent="0.2">
      <c r="A190" s="10" t="s">
        <v>278</v>
      </c>
      <c r="B190" s="11">
        <f t="shared" si="83"/>
        <v>185</v>
      </c>
      <c r="C190" s="11" t="s">
        <v>213</v>
      </c>
      <c r="D190" s="19" t="s">
        <v>50</v>
      </c>
      <c r="E190" s="19" t="s">
        <v>234</v>
      </c>
      <c r="F190" s="20">
        <v>42767</v>
      </c>
      <c r="G190" s="11">
        <v>37</v>
      </c>
      <c r="H190" s="13">
        <f t="shared" si="68"/>
        <v>5967.7419354838703</v>
      </c>
      <c r="I190" s="13">
        <f t="shared" si="76"/>
        <v>0</v>
      </c>
      <c r="J190" s="13">
        <f t="shared" si="77"/>
        <v>298.38709677419354</v>
      </c>
      <c r="L190" s="13">
        <f t="shared" si="85"/>
        <v>954.83870967741927</v>
      </c>
      <c r="N190" s="13">
        <f>((1950+1441+1043+814+0)/G$3)*G190</f>
        <v>6263.7419354838703</v>
      </c>
      <c r="P190" s="13">
        <f t="shared" si="96"/>
        <v>13484.709677419352</v>
      </c>
      <c r="Q190" s="12">
        <f t="shared" si="70"/>
        <v>716.1290322580644</v>
      </c>
      <c r="R190" s="12">
        <f t="shared" si="84"/>
        <v>236</v>
      </c>
      <c r="S190" s="21">
        <v>0</v>
      </c>
      <c r="T190" s="13">
        <v>0</v>
      </c>
      <c r="U190" s="13">
        <f t="shared" si="105"/>
        <v>952.1290322580644</v>
      </c>
      <c r="V190" s="13">
        <f t="shared" si="73"/>
        <v>12532.580645161288</v>
      </c>
      <c r="X190" s="13">
        <f t="shared" si="79"/>
        <v>12532.580645161288</v>
      </c>
      <c r="Y190" s="12">
        <f t="shared" si="80"/>
        <v>784.75806451612902</v>
      </c>
      <c r="Z190" s="12">
        <f t="shared" si="74"/>
        <v>641</v>
      </c>
      <c r="AA190" s="1">
        <f t="shared" si="81"/>
        <v>0</v>
      </c>
      <c r="AB190" s="16">
        <f t="shared" si="106"/>
        <v>1425.758064516129</v>
      </c>
      <c r="AC190" s="16">
        <f t="shared" si="75"/>
        <v>14910.467741935481</v>
      </c>
    </row>
    <row r="191" spans="1:29" x14ac:dyDescent="0.2">
      <c r="A191" s="10" t="s">
        <v>280</v>
      </c>
      <c r="B191" s="11">
        <f t="shared" si="83"/>
        <v>186</v>
      </c>
      <c r="C191" s="11" t="s">
        <v>215</v>
      </c>
      <c r="D191" s="19" t="s">
        <v>50</v>
      </c>
      <c r="E191" s="19" t="s">
        <v>238</v>
      </c>
      <c r="F191" s="20">
        <v>42767</v>
      </c>
      <c r="G191" s="11">
        <v>27</v>
      </c>
      <c r="H191" s="13">
        <f t="shared" si="68"/>
        <v>4354.8387096774195</v>
      </c>
      <c r="I191" s="13">
        <f t="shared" si="76"/>
        <v>0</v>
      </c>
      <c r="J191" s="13">
        <f t="shared" si="77"/>
        <v>217.74193548387098</v>
      </c>
      <c r="L191" s="13">
        <f t="shared" si="85"/>
        <v>696.77419354838707</v>
      </c>
      <c r="N191" s="13">
        <f>((1950+1441+1043+814+0)/G$3)*G191</f>
        <v>4570.8387096774195</v>
      </c>
      <c r="P191" s="13">
        <f t="shared" si="96"/>
        <v>9840.1935483870984</v>
      </c>
      <c r="Q191" s="12">
        <f t="shared" si="70"/>
        <v>522.58064516129036</v>
      </c>
      <c r="R191" s="12">
        <f t="shared" si="84"/>
        <v>173</v>
      </c>
      <c r="S191" s="21">
        <v>0</v>
      </c>
      <c r="T191" s="13">
        <v>0</v>
      </c>
      <c r="U191" s="13">
        <f t="shared" si="105"/>
        <v>695.58064516129036</v>
      </c>
      <c r="V191" s="13">
        <f t="shared" si="73"/>
        <v>9144.6129032258086</v>
      </c>
      <c r="X191" s="13">
        <f t="shared" si="79"/>
        <v>9144.6129032258086</v>
      </c>
      <c r="Y191" s="12">
        <f t="shared" si="80"/>
        <v>572.66129032258073</v>
      </c>
      <c r="Z191" s="12">
        <f t="shared" si="74"/>
        <v>468</v>
      </c>
      <c r="AA191" s="1">
        <f t="shared" si="81"/>
        <v>0</v>
      </c>
      <c r="AB191" s="16">
        <f t="shared" si="106"/>
        <v>1040.6612903225807</v>
      </c>
      <c r="AC191" s="16">
        <f t="shared" si="75"/>
        <v>10880.85483870968</v>
      </c>
    </row>
    <row r="192" spans="1:29" x14ac:dyDescent="0.2">
      <c r="A192" s="10" t="s">
        <v>281</v>
      </c>
      <c r="B192" s="11">
        <f t="shared" si="83"/>
        <v>187</v>
      </c>
      <c r="C192" s="11" t="s">
        <v>216</v>
      </c>
      <c r="D192" s="19" t="s">
        <v>50</v>
      </c>
      <c r="E192" s="19" t="s">
        <v>484</v>
      </c>
      <c r="F192" s="20">
        <v>42767</v>
      </c>
      <c r="G192" s="11">
        <v>33</v>
      </c>
      <c r="H192" s="13">
        <f t="shared" si="68"/>
        <v>5322.5806451612898</v>
      </c>
      <c r="I192" s="13">
        <f t="shared" si="76"/>
        <v>0</v>
      </c>
      <c r="J192" s="13">
        <f t="shared" si="77"/>
        <v>266.12903225806451</v>
      </c>
      <c r="L192" s="13">
        <f t="shared" si="85"/>
        <v>851.61290322580635</v>
      </c>
      <c r="N192" s="13">
        <f>((1950+1441+839+0)/G$3)*G192</f>
        <v>4502.9032258064508</v>
      </c>
      <c r="P192" s="13">
        <f t="shared" si="96"/>
        <v>10943.225806451612</v>
      </c>
      <c r="Q192" s="12">
        <f t="shared" si="70"/>
        <v>638.70967741935476</v>
      </c>
      <c r="R192" s="12">
        <f t="shared" si="84"/>
        <v>192</v>
      </c>
      <c r="S192" s="21">
        <v>0</v>
      </c>
      <c r="T192" s="13">
        <v>0</v>
      </c>
      <c r="U192" s="13">
        <f t="shared" si="105"/>
        <v>830.70967741935476</v>
      </c>
      <c r="V192" s="13">
        <f t="shared" si="73"/>
        <v>10112.516129032258</v>
      </c>
      <c r="X192" s="13">
        <f t="shared" si="79"/>
        <v>10112.516129032258</v>
      </c>
      <c r="Y192" s="12">
        <f t="shared" si="80"/>
        <v>699.91935483870964</v>
      </c>
      <c r="Z192" s="12">
        <f t="shared" si="74"/>
        <v>520</v>
      </c>
      <c r="AA192" s="1">
        <f t="shared" si="81"/>
        <v>0</v>
      </c>
      <c r="AB192" s="16">
        <f t="shared" si="106"/>
        <v>1219.9193548387098</v>
      </c>
      <c r="AC192" s="16">
        <f t="shared" si="75"/>
        <v>12163.145161290322</v>
      </c>
    </row>
    <row r="193" spans="1:29" x14ac:dyDescent="0.2">
      <c r="A193" s="10" t="s">
        <v>283</v>
      </c>
      <c r="B193" s="11">
        <f t="shared" si="83"/>
        <v>188</v>
      </c>
      <c r="C193" s="11" t="s">
        <v>218</v>
      </c>
      <c r="D193" s="19" t="s">
        <v>50</v>
      </c>
      <c r="E193" s="19" t="s">
        <v>242</v>
      </c>
      <c r="F193" s="20">
        <v>42767</v>
      </c>
      <c r="G193" s="11">
        <v>35</v>
      </c>
      <c r="H193" s="13">
        <f t="shared" si="68"/>
        <v>5645.1612903225805</v>
      </c>
      <c r="I193" s="13">
        <f t="shared" si="76"/>
        <v>0</v>
      </c>
      <c r="J193" s="13">
        <f t="shared" si="77"/>
        <v>282.25806451612902</v>
      </c>
      <c r="L193" s="13">
        <f t="shared" si="85"/>
        <v>903.22580645161281</v>
      </c>
      <c r="N193" s="13">
        <f>((1950+1441+839+0)/G$3)*G193</f>
        <v>4775.8064516129025</v>
      </c>
      <c r="P193" s="13">
        <f t="shared" si="96"/>
        <v>11606.451612903224</v>
      </c>
      <c r="Q193" s="12">
        <f t="shared" si="70"/>
        <v>677.41935483870964</v>
      </c>
      <c r="R193" s="12">
        <f t="shared" si="84"/>
        <v>204</v>
      </c>
      <c r="S193" s="21">
        <v>0</v>
      </c>
      <c r="T193" s="13">
        <v>0</v>
      </c>
      <c r="U193" s="13">
        <f t="shared" si="105"/>
        <v>881.41935483870964</v>
      </c>
      <c r="V193" s="13">
        <f t="shared" si="73"/>
        <v>10725.032258064513</v>
      </c>
      <c r="X193" s="13">
        <f t="shared" si="79"/>
        <v>10725.032258064513</v>
      </c>
      <c r="Y193" s="12">
        <f t="shared" si="80"/>
        <v>742.33870967741939</v>
      </c>
      <c r="Z193" s="12">
        <f t="shared" si="74"/>
        <v>552</v>
      </c>
      <c r="AA193" s="1">
        <f t="shared" si="81"/>
        <v>0</v>
      </c>
      <c r="AB193" s="16">
        <f t="shared" si="106"/>
        <v>1294.3387096774195</v>
      </c>
      <c r="AC193" s="16">
        <f t="shared" si="75"/>
        <v>12900.790322580644</v>
      </c>
    </row>
    <row r="194" spans="1:29" x14ac:dyDescent="0.2">
      <c r="A194" s="10" t="s">
        <v>296</v>
      </c>
      <c r="B194" s="11">
        <f t="shared" si="83"/>
        <v>189</v>
      </c>
      <c r="C194" s="11" t="s">
        <v>349</v>
      </c>
      <c r="D194" s="19" t="s">
        <v>50</v>
      </c>
      <c r="E194" s="19" t="s">
        <v>240</v>
      </c>
      <c r="F194" s="20">
        <v>42795</v>
      </c>
      <c r="G194" s="11">
        <v>37</v>
      </c>
      <c r="H194" s="13">
        <f t="shared" si="68"/>
        <v>5967.7419354838703</v>
      </c>
      <c r="I194" s="13">
        <f t="shared" si="76"/>
        <v>0</v>
      </c>
      <c r="J194" s="13">
        <f t="shared" si="77"/>
        <v>298.38709677419354</v>
      </c>
      <c r="L194" s="13">
        <f t="shared" si="85"/>
        <v>954.83870967741927</v>
      </c>
      <c r="N194" s="13">
        <f>((1950+1441+3384+1018+0)/G$3)*G194</f>
        <v>9301.322580645161</v>
      </c>
      <c r="P194" s="13">
        <f t="shared" si="96"/>
        <v>16522.290322580644</v>
      </c>
      <c r="Q194" s="12">
        <f t="shared" si="70"/>
        <v>716.1290322580644</v>
      </c>
      <c r="R194" s="12">
        <f t="shared" si="84"/>
        <v>290</v>
      </c>
      <c r="S194" s="21">
        <v>0</v>
      </c>
      <c r="T194" s="13">
        <v>0</v>
      </c>
      <c r="U194" s="13">
        <f t="shared" si="105"/>
        <v>1006.1290322580644</v>
      </c>
      <c r="V194" s="13">
        <f t="shared" si="73"/>
        <v>15516.16129032258</v>
      </c>
      <c r="X194" s="13">
        <f t="shared" si="79"/>
        <v>15516.16129032258</v>
      </c>
      <c r="Y194" s="12">
        <f t="shared" si="80"/>
        <v>784.75806451612902</v>
      </c>
      <c r="Z194" s="12">
        <f t="shared" si="74"/>
        <v>785</v>
      </c>
      <c r="AA194" s="1">
        <f t="shared" si="81"/>
        <v>0</v>
      </c>
      <c r="AB194" s="16">
        <f t="shared" si="106"/>
        <v>1569.758064516129</v>
      </c>
      <c r="AC194" s="16">
        <f t="shared" si="75"/>
        <v>18092.048387096773</v>
      </c>
    </row>
    <row r="195" spans="1:29" x14ac:dyDescent="0.2">
      <c r="A195" s="10" t="s">
        <v>297</v>
      </c>
      <c r="B195" s="11">
        <f t="shared" si="83"/>
        <v>190</v>
      </c>
      <c r="C195" s="11" t="s">
        <v>254</v>
      </c>
      <c r="D195" s="19" t="s">
        <v>50</v>
      </c>
      <c r="E195" s="19" t="s">
        <v>240</v>
      </c>
      <c r="F195" s="20">
        <v>42795</v>
      </c>
      <c r="G195" s="11">
        <v>36</v>
      </c>
      <c r="H195" s="13">
        <f t="shared" si="68"/>
        <v>5806.4516129032254</v>
      </c>
      <c r="I195" s="13">
        <f t="shared" si="76"/>
        <v>0</v>
      </c>
      <c r="J195" s="13">
        <f t="shared" si="77"/>
        <v>290.32258064516128</v>
      </c>
      <c r="L195" s="13">
        <f t="shared" si="85"/>
        <v>929.0322580645161</v>
      </c>
      <c r="N195" s="13">
        <f>((1950+1441-178+3562+1018)/G$3)*G195</f>
        <v>9049.9354838709678</v>
      </c>
      <c r="P195" s="13">
        <f t="shared" si="96"/>
        <v>16075.741935483871</v>
      </c>
      <c r="Q195" s="12">
        <f t="shared" si="70"/>
        <v>696.77419354838707</v>
      </c>
      <c r="R195" s="12">
        <f t="shared" si="84"/>
        <v>282</v>
      </c>
      <c r="S195" s="21">
        <v>0</v>
      </c>
      <c r="T195" s="13">
        <v>0</v>
      </c>
      <c r="U195" s="13">
        <f t="shared" ref="U195" si="107">SUM(Q195:T195)</f>
        <v>978.77419354838707</v>
      </c>
      <c r="V195" s="13">
        <f t="shared" si="73"/>
        <v>15096.967741935485</v>
      </c>
      <c r="X195" s="13">
        <f t="shared" si="79"/>
        <v>15096.967741935485</v>
      </c>
      <c r="Y195" s="12">
        <f t="shared" si="80"/>
        <v>763.54838709677415</v>
      </c>
      <c r="Z195" s="12">
        <f t="shared" si="74"/>
        <v>764</v>
      </c>
      <c r="AA195" s="1">
        <f t="shared" si="81"/>
        <v>0</v>
      </c>
      <c r="AB195" s="16">
        <f t="shared" ref="AB195" si="108">SUM(Y195:AA195)</f>
        <v>1527.5483870967741</v>
      </c>
      <c r="AC195" s="16">
        <f t="shared" si="75"/>
        <v>17603.290322580644</v>
      </c>
    </row>
    <row r="196" spans="1:29" x14ac:dyDescent="0.2">
      <c r="A196" s="10" t="s">
        <v>299</v>
      </c>
      <c r="B196" s="11">
        <f t="shared" si="83"/>
        <v>191</v>
      </c>
      <c r="C196" s="11" t="s">
        <v>256</v>
      </c>
      <c r="D196" s="19" t="s">
        <v>50</v>
      </c>
      <c r="E196" s="19" t="s">
        <v>238</v>
      </c>
      <c r="F196" s="20">
        <v>42795</v>
      </c>
      <c r="G196" s="11">
        <v>24</v>
      </c>
      <c r="H196" s="13">
        <f t="shared" si="68"/>
        <v>3870.9677419354839</v>
      </c>
      <c r="I196" s="13">
        <f t="shared" si="76"/>
        <v>0</v>
      </c>
      <c r="J196" s="13">
        <f t="shared" si="77"/>
        <v>193.54838709677421</v>
      </c>
      <c r="L196" s="13">
        <f t="shared" si="85"/>
        <v>619.35483870967732</v>
      </c>
      <c r="N196" s="13">
        <f>((1950+1441+839+0)/G$3)*G196</f>
        <v>3274.838709677419</v>
      </c>
      <c r="P196" s="13">
        <f t="shared" si="96"/>
        <v>7958.7096774193542</v>
      </c>
      <c r="Q196" s="12">
        <f t="shared" si="70"/>
        <v>464.51612903225805</v>
      </c>
      <c r="R196" s="12">
        <f t="shared" si="84"/>
        <v>140</v>
      </c>
      <c r="S196" s="21">
        <v>0</v>
      </c>
      <c r="T196" s="13">
        <v>0</v>
      </c>
      <c r="U196" s="13">
        <f t="shared" ref="U196:U201" si="109">SUM(Q196:T196)</f>
        <v>604.51612903225805</v>
      </c>
      <c r="V196" s="13">
        <f t="shared" si="73"/>
        <v>7354.1935483870966</v>
      </c>
      <c r="X196" s="13">
        <f t="shared" si="79"/>
        <v>7354.1935483870966</v>
      </c>
      <c r="Y196" s="12">
        <f t="shared" si="80"/>
        <v>509.03225806451616</v>
      </c>
      <c r="Z196" s="12">
        <f t="shared" si="74"/>
        <v>379</v>
      </c>
      <c r="AA196" s="1">
        <f t="shared" si="81"/>
        <v>0</v>
      </c>
      <c r="AB196" s="16">
        <f t="shared" ref="AB196:AB201" si="110">SUM(Y196:AA196)</f>
        <v>888.0322580645161</v>
      </c>
      <c r="AC196" s="16">
        <f t="shared" si="75"/>
        <v>8846.7419354838712</v>
      </c>
    </row>
    <row r="197" spans="1:29" x14ac:dyDescent="0.2">
      <c r="A197" s="10" t="s">
        <v>300</v>
      </c>
      <c r="B197" s="11">
        <f t="shared" si="83"/>
        <v>192</v>
      </c>
      <c r="C197" s="11" t="s">
        <v>257</v>
      </c>
      <c r="D197" s="19" t="s">
        <v>50</v>
      </c>
      <c r="E197" s="19" t="s">
        <v>484</v>
      </c>
      <c r="F197" s="20">
        <v>42795</v>
      </c>
      <c r="G197" s="11">
        <v>33</v>
      </c>
      <c r="H197" s="13">
        <f t="shared" si="68"/>
        <v>5322.5806451612898</v>
      </c>
      <c r="I197" s="13">
        <f t="shared" si="76"/>
        <v>0</v>
      </c>
      <c r="J197" s="13">
        <f t="shared" si="77"/>
        <v>266.12903225806451</v>
      </c>
      <c r="L197" s="13">
        <f t="shared" si="85"/>
        <v>851.61290322580635</v>
      </c>
      <c r="N197" s="13">
        <f>((1950+1441+839+0)/G$3)*G197</f>
        <v>4502.9032258064508</v>
      </c>
      <c r="P197" s="13">
        <f t="shared" si="96"/>
        <v>10943.225806451612</v>
      </c>
      <c r="Q197" s="12">
        <f t="shared" si="70"/>
        <v>638.70967741935476</v>
      </c>
      <c r="R197" s="12">
        <f t="shared" si="84"/>
        <v>192</v>
      </c>
      <c r="S197" s="21">
        <v>0</v>
      </c>
      <c r="T197" s="13">
        <v>0</v>
      </c>
      <c r="U197" s="13">
        <f t="shared" si="109"/>
        <v>830.70967741935476</v>
      </c>
      <c r="V197" s="13">
        <f t="shared" si="73"/>
        <v>10112.516129032258</v>
      </c>
      <c r="X197" s="13">
        <f t="shared" si="79"/>
        <v>10112.516129032258</v>
      </c>
      <c r="Y197" s="12">
        <f t="shared" si="80"/>
        <v>699.91935483870964</v>
      </c>
      <c r="Z197" s="12">
        <f t="shared" si="74"/>
        <v>520</v>
      </c>
      <c r="AA197" s="1">
        <f t="shared" si="81"/>
        <v>0</v>
      </c>
      <c r="AB197" s="16">
        <f t="shared" si="110"/>
        <v>1219.9193548387098</v>
      </c>
      <c r="AC197" s="16">
        <f t="shared" si="75"/>
        <v>12163.145161290322</v>
      </c>
    </row>
    <row r="198" spans="1:29" x14ac:dyDescent="0.2">
      <c r="A198" s="10" t="s">
        <v>301</v>
      </c>
      <c r="B198" s="11">
        <f t="shared" si="83"/>
        <v>193</v>
      </c>
      <c r="C198" s="11" t="s">
        <v>258</v>
      </c>
      <c r="D198" s="19" t="s">
        <v>50</v>
      </c>
      <c r="E198" s="19" t="s">
        <v>240</v>
      </c>
      <c r="F198" s="20">
        <v>42795</v>
      </c>
      <c r="G198" s="11">
        <v>33</v>
      </c>
      <c r="H198" s="13">
        <f t="shared" ref="H198:H261" si="111">(5000/G$3)*G198</f>
        <v>5322.5806451612898</v>
      </c>
      <c r="I198" s="13">
        <f t="shared" si="76"/>
        <v>0</v>
      </c>
      <c r="J198" s="13">
        <f t="shared" si="77"/>
        <v>266.12903225806451</v>
      </c>
      <c r="L198" s="13">
        <f t="shared" si="85"/>
        <v>851.61290322580635</v>
      </c>
      <c r="N198" s="13">
        <f>((1950+1441+839+0)/G$3)*G198</f>
        <v>4502.9032258064508</v>
      </c>
      <c r="P198" s="13">
        <f t="shared" si="96"/>
        <v>10943.225806451612</v>
      </c>
      <c r="Q198" s="12">
        <f t="shared" ref="Q198:Q261" si="112">(H198+I198)*12%</f>
        <v>638.70967741935476</v>
      </c>
      <c r="R198" s="12">
        <f t="shared" si="84"/>
        <v>192</v>
      </c>
      <c r="S198" s="21">
        <v>0</v>
      </c>
      <c r="T198" s="13">
        <v>0</v>
      </c>
      <c r="U198" s="13">
        <f t="shared" si="109"/>
        <v>830.70967741935476</v>
      </c>
      <c r="V198" s="13">
        <f t="shared" ref="V198:V261" si="113">P198-U198</f>
        <v>10112.516129032258</v>
      </c>
      <c r="X198" s="13">
        <f t="shared" si="79"/>
        <v>10112.516129032258</v>
      </c>
      <c r="Y198" s="12">
        <f t="shared" si="80"/>
        <v>699.91935483870964</v>
      </c>
      <c r="Z198" s="12">
        <f t="shared" ref="Z198:Z261" si="114">CEILING((P198)*4.75%,1)</f>
        <v>520</v>
      </c>
      <c r="AA198" s="1">
        <f t="shared" si="81"/>
        <v>0</v>
      </c>
      <c r="AB198" s="16">
        <f t="shared" si="110"/>
        <v>1219.9193548387098</v>
      </c>
      <c r="AC198" s="16">
        <f t="shared" ref="AC198:AC261" si="115">P198+AB198</f>
        <v>12163.145161290322</v>
      </c>
    </row>
    <row r="199" spans="1:29" x14ac:dyDescent="0.2">
      <c r="A199" s="10" t="s">
        <v>302</v>
      </c>
      <c r="B199" s="11">
        <f t="shared" si="83"/>
        <v>194</v>
      </c>
      <c r="C199" s="11" t="s">
        <v>259</v>
      </c>
      <c r="D199" s="19" t="s">
        <v>50</v>
      </c>
      <c r="E199" s="19" t="s">
        <v>240</v>
      </c>
      <c r="F199" s="20">
        <v>42795</v>
      </c>
      <c r="G199" s="11">
        <f>20</f>
        <v>20</v>
      </c>
      <c r="H199" s="13">
        <f t="shared" si="111"/>
        <v>3225.8064516129029</v>
      </c>
      <c r="I199" s="13">
        <f t="shared" ref="I199:I262" si="116">((0)/G$3)*G199</f>
        <v>0</v>
      </c>
      <c r="J199" s="13">
        <f t="shared" ref="J199:J262" si="117">(H199+I199)*5%</f>
        <v>161.29032258064515</v>
      </c>
      <c r="L199" s="13">
        <f t="shared" si="85"/>
        <v>516.12903225806451</v>
      </c>
      <c r="N199" s="13">
        <f>((1950+1441+839+1527)/G$3)*G199</f>
        <v>3714.1935483870971</v>
      </c>
      <c r="P199" s="13">
        <f t="shared" si="96"/>
        <v>7617.4193548387102</v>
      </c>
      <c r="Q199" s="12">
        <f t="shared" si="112"/>
        <v>387.09677419354836</v>
      </c>
      <c r="R199" s="12">
        <f t="shared" si="84"/>
        <v>134</v>
      </c>
      <c r="S199" s="21">
        <v>0</v>
      </c>
      <c r="T199" s="13">
        <v>0</v>
      </c>
      <c r="U199" s="13">
        <f t="shared" si="109"/>
        <v>521.0967741935483</v>
      </c>
      <c r="V199" s="13">
        <f t="shared" si="113"/>
        <v>7096.3225806451619</v>
      </c>
      <c r="X199" s="13">
        <f t="shared" si="79"/>
        <v>7096.3225806451619</v>
      </c>
      <c r="Y199" s="12">
        <f t="shared" ref="Y199:Y262" si="118">(H199+I199)*13.15%</f>
        <v>424.19354838709677</v>
      </c>
      <c r="Z199" s="12">
        <f t="shared" si="114"/>
        <v>362</v>
      </c>
      <c r="AA199" s="1">
        <f t="shared" si="81"/>
        <v>0</v>
      </c>
      <c r="AB199" s="16">
        <f t="shared" si="110"/>
        <v>786.19354838709683</v>
      </c>
      <c r="AC199" s="16">
        <f t="shared" si="115"/>
        <v>8403.6129032258068</v>
      </c>
    </row>
    <row r="200" spans="1:29" x14ac:dyDescent="0.2">
      <c r="A200" s="10" t="s">
        <v>303</v>
      </c>
      <c r="B200" s="11">
        <f t="shared" ref="B200:B263" si="119">B199+1</f>
        <v>195</v>
      </c>
      <c r="C200" s="11" t="s">
        <v>260</v>
      </c>
      <c r="D200" s="19" t="s">
        <v>50</v>
      </c>
      <c r="E200" s="19" t="s">
        <v>234</v>
      </c>
      <c r="F200" s="20">
        <v>42795</v>
      </c>
      <c r="G200" s="11">
        <v>16</v>
      </c>
      <c r="H200" s="13">
        <f t="shared" si="111"/>
        <v>2580.6451612903224</v>
      </c>
      <c r="I200" s="13">
        <f t="shared" si="116"/>
        <v>0</v>
      </c>
      <c r="J200" s="13">
        <f t="shared" si="117"/>
        <v>129.03225806451613</v>
      </c>
      <c r="L200" s="13">
        <f t="shared" si="85"/>
        <v>412.90322580645159</v>
      </c>
      <c r="N200" s="13">
        <f>((1950+1441+839+1018+0)/G$3)*G200</f>
        <v>2708.6451612903224</v>
      </c>
      <c r="P200" s="13">
        <f t="shared" si="96"/>
        <v>5831.2258064516127</v>
      </c>
      <c r="Q200" s="12">
        <f t="shared" si="112"/>
        <v>309.67741935483866</v>
      </c>
      <c r="R200" s="12">
        <f t="shared" si="84"/>
        <v>103</v>
      </c>
      <c r="S200" s="21">
        <v>0</v>
      </c>
      <c r="T200" s="13">
        <v>0</v>
      </c>
      <c r="U200" s="13">
        <f t="shared" si="109"/>
        <v>412.67741935483866</v>
      </c>
      <c r="V200" s="13">
        <f t="shared" si="113"/>
        <v>5418.5483870967737</v>
      </c>
      <c r="X200" s="13">
        <f t="shared" si="79"/>
        <v>5418.5483870967737</v>
      </c>
      <c r="Y200" s="12">
        <f t="shared" si="118"/>
        <v>339.35483870967744</v>
      </c>
      <c r="Z200" s="12">
        <f t="shared" si="114"/>
        <v>277</v>
      </c>
      <c r="AA200" s="1">
        <f t="shared" si="81"/>
        <v>0</v>
      </c>
      <c r="AB200" s="16">
        <f t="shared" si="110"/>
        <v>616.35483870967744</v>
      </c>
      <c r="AC200" s="16">
        <f t="shared" si="115"/>
        <v>6447.5806451612898</v>
      </c>
    </row>
    <row r="201" spans="1:29" x14ac:dyDescent="0.2">
      <c r="A201" s="10" t="s">
        <v>305</v>
      </c>
      <c r="B201" s="11">
        <f t="shared" si="119"/>
        <v>196</v>
      </c>
      <c r="C201" s="11" t="s">
        <v>262</v>
      </c>
      <c r="D201" s="19" t="s">
        <v>50</v>
      </c>
      <c r="E201" s="19" t="s">
        <v>242</v>
      </c>
      <c r="F201" s="20">
        <v>42817</v>
      </c>
      <c r="G201" s="11">
        <v>34.5</v>
      </c>
      <c r="H201" s="13">
        <f t="shared" si="111"/>
        <v>5564.5161290322576</v>
      </c>
      <c r="I201" s="13">
        <f t="shared" si="116"/>
        <v>0</v>
      </c>
      <c r="J201" s="13">
        <f t="shared" si="117"/>
        <v>278.22580645161287</v>
      </c>
      <c r="L201" s="13">
        <f t="shared" ref="L201:L264" si="120">((800)/G$3)*G201</f>
        <v>890.32258064516122</v>
      </c>
      <c r="N201" s="13">
        <f>((1950+1441+839+0)/G$3)*G201</f>
        <v>4707.5806451612898</v>
      </c>
      <c r="P201" s="13">
        <f t="shared" si="96"/>
        <v>11440.645161290322</v>
      </c>
      <c r="Q201" s="12">
        <f t="shared" si="112"/>
        <v>667.74193548387086</v>
      </c>
      <c r="R201" s="12">
        <f t="shared" si="84"/>
        <v>201</v>
      </c>
      <c r="S201" s="21">
        <v>0</v>
      </c>
      <c r="T201" s="13">
        <v>0</v>
      </c>
      <c r="U201" s="13">
        <f t="shared" si="109"/>
        <v>868.74193548387086</v>
      </c>
      <c r="V201" s="13">
        <f t="shared" si="113"/>
        <v>10571.903225806451</v>
      </c>
      <c r="X201" s="13">
        <f t="shared" si="79"/>
        <v>10571.903225806451</v>
      </c>
      <c r="Y201" s="12">
        <f t="shared" si="118"/>
        <v>731.73387096774195</v>
      </c>
      <c r="Z201" s="12">
        <f t="shared" si="114"/>
        <v>544</v>
      </c>
      <c r="AA201" s="1">
        <f t="shared" si="81"/>
        <v>0</v>
      </c>
      <c r="AB201" s="16">
        <f t="shared" si="110"/>
        <v>1275.733870967742</v>
      </c>
      <c r="AC201" s="16">
        <f t="shared" si="115"/>
        <v>12716.379032258064</v>
      </c>
    </row>
    <row r="202" spans="1:29" x14ac:dyDescent="0.2">
      <c r="A202" s="10" t="s">
        <v>306</v>
      </c>
      <c r="B202" s="11">
        <f t="shared" si="119"/>
        <v>197</v>
      </c>
      <c r="C202" s="11" t="s">
        <v>704</v>
      </c>
      <c r="D202" s="19" t="s">
        <v>50</v>
      </c>
      <c r="E202" s="19" t="s">
        <v>484</v>
      </c>
      <c r="F202" s="20">
        <v>42795</v>
      </c>
      <c r="G202" s="11">
        <v>29</v>
      </c>
      <c r="H202" s="13">
        <f t="shared" si="111"/>
        <v>4677.4193548387093</v>
      </c>
      <c r="I202" s="13">
        <f t="shared" si="116"/>
        <v>0</v>
      </c>
      <c r="J202" s="13">
        <f t="shared" si="117"/>
        <v>233.87096774193549</v>
      </c>
      <c r="L202" s="13">
        <f t="shared" si="120"/>
        <v>748.38709677419354</v>
      </c>
      <c r="N202" s="13">
        <f>((1950+1441+839+0)/G$3)*G202</f>
        <v>3957.0967741935478</v>
      </c>
      <c r="P202" s="13">
        <f t="shared" si="96"/>
        <v>9616.7741935483864</v>
      </c>
      <c r="Q202" s="12">
        <f t="shared" si="112"/>
        <v>561.29032258064512</v>
      </c>
      <c r="R202" s="12">
        <f t="shared" si="84"/>
        <v>169</v>
      </c>
      <c r="S202" s="21">
        <v>0</v>
      </c>
      <c r="T202" s="13">
        <v>0</v>
      </c>
      <c r="U202" s="13">
        <f t="shared" ref="U202:U265" si="121">SUM(Q202:T202)</f>
        <v>730.29032258064512</v>
      </c>
      <c r="V202" s="13">
        <f t="shared" si="113"/>
        <v>8886.4838709677406</v>
      </c>
      <c r="X202" s="13">
        <f t="shared" si="79"/>
        <v>8886.4838709677406</v>
      </c>
      <c r="Y202" s="12">
        <f t="shared" si="118"/>
        <v>615.08064516129025</v>
      </c>
      <c r="Z202" s="12">
        <f t="shared" si="114"/>
        <v>457</v>
      </c>
      <c r="AA202" s="1">
        <f t="shared" si="81"/>
        <v>0</v>
      </c>
      <c r="AB202" s="16">
        <f t="shared" ref="AB202:AB265" si="122">SUM(Y202:AA202)</f>
        <v>1072.0806451612902</v>
      </c>
      <c r="AC202" s="16">
        <f t="shared" si="115"/>
        <v>10688.854838709676</v>
      </c>
    </row>
    <row r="203" spans="1:29" x14ac:dyDescent="0.2">
      <c r="A203" s="10" t="s">
        <v>351</v>
      </c>
      <c r="B203" s="11">
        <f t="shared" si="119"/>
        <v>198</v>
      </c>
      <c r="C203" s="11" t="s">
        <v>352</v>
      </c>
      <c r="D203" s="19" t="s">
        <v>50</v>
      </c>
      <c r="E203" s="19" t="s">
        <v>484</v>
      </c>
      <c r="F203" s="20">
        <v>42795</v>
      </c>
      <c r="G203" s="11">
        <v>4</v>
      </c>
      <c r="H203" s="13">
        <f t="shared" si="111"/>
        <v>645.16129032258061</v>
      </c>
      <c r="I203" s="13">
        <f t="shared" si="116"/>
        <v>0</v>
      </c>
      <c r="J203" s="13">
        <f t="shared" si="117"/>
        <v>32.258064516129032</v>
      </c>
      <c r="L203" s="13">
        <f t="shared" si="120"/>
        <v>103.2258064516129</v>
      </c>
      <c r="N203" s="13">
        <f>((1950+1441+839+0)/G$3)*G203</f>
        <v>545.80645161290317</v>
      </c>
      <c r="P203" s="13">
        <f t="shared" si="96"/>
        <v>1326.4516129032259</v>
      </c>
      <c r="Q203" s="12">
        <f t="shared" si="112"/>
        <v>77.419354838709666</v>
      </c>
      <c r="R203" s="12">
        <f t="shared" si="84"/>
        <v>24</v>
      </c>
      <c r="S203" s="21">
        <v>0</v>
      </c>
      <c r="T203" s="13">
        <v>0</v>
      </c>
      <c r="U203" s="13">
        <f t="shared" si="121"/>
        <v>101.41935483870967</v>
      </c>
      <c r="V203" s="13">
        <f t="shared" si="113"/>
        <v>1225.0322580645161</v>
      </c>
      <c r="X203" s="13">
        <f t="shared" si="79"/>
        <v>1225.0322580645161</v>
      </c>
      <c r="Y203" s="12">
        <f t="shared" si="118"/>
        <v>84.838709677419359</v>
      </c>
      <c r="Z203" s="12">
        <f t="shared" si="114"/>
        <v>64</v>
      </c>
      <c r="AA203" s="1">
        <f t="shared" si="81"/>
        <v>0</v>
      </c>
      <c r="AB203" s="16">
        <f t="shared" si="122"/>
        <v>148.83870967741936</v>
      </c>
      <c r="AC203" s="16">
        <f t="shared" si="115"/>
        <v>1475.2903225806451</v>
      </c>
    </row>
    <row r="204" spans="1:29" x14ac:dyDescent="0.2">
      <c r="A204" s="10" t="s">
        <v>100</v>
      </c>
      <c r="B204" s="11">
        <f t="shared" si="119"/>
        <v>199</v>
      </c>
      <c r="C204" s="11" t="s">
        <v>84</v>
      </c>
      <c r="D204" s="19" t="s">
        <v>50</v>
      </c>
      <c r="E204" s="19" t="s">
        <v>239</v>
      </c>
      <c r="F204" s="20">
        <v>42864</v>
      </c>
      <c r="G204" s="11">
        <v>34</v>
      </c>
      <c r="H204" s="13">
        <f t="shared" si="111"/>
        <v>5483.8709677419356</v>
      </c>
      <c r="I204" s="13">
        <f t="shared" si="116"/>
        <v>0</v>
      </c>
      <c r="J204" s="13">
        <f t="shared" si="117"/>
        <v>274.19354838709677</v>
      </c>
      <c r="L204" s="13">
        <f t="shared" si="120"/>
        <v>877.41935483870964</v>
      </c>
      <c r="N204" s="13">
        <f>((5197)/G$3)*G204</f>
        <v>5699.9354838709678</v>
      </c>
      <c r="P204" s="13">
        <f t="shared" si="96"/>
        <v>12335.419354838708</v>
      </c>
      <c r="Q204" s="12">
        <f t="shared" si="112"/>
        <v>658.0645161290322</v>
      </c>
      <c r="R204" s="12">
        <f t="shared" si="84"/>
        <v>216</v>
      </c>
      <c r="S204" s="21">
        <v>0</v>
      </c>
      <c r="T204" s="13">
        <v>0</v>
      </c>
      <c r="U204" s="13">
        <f t="shared" si="121"/>
        <v>874.0645161290322</v>
      </c>
      <c r="V204" s="13">
        <f t="shared" si="113"/>
        <v>11461.354838709676</v>
      </c>
      <c r="X204" s="13">
        <f t="shared" si="79"/>
        <v>11461.354838709676</v>
      </c>
      <c r="Y204" s="12">
        <f t="shared" si="118"/>
        <v>721.12903225806451</v>
      </c>
      <c r="Z204" s="12">
        <f t="shared" si="114"/>
        <v>586</v>
      </c>
      <c r="AA204" s="1">
        <f t="shared" si="81"/>
        <v>0</v>
      </c>
      <c r="AB204" s="16">
        <f t="shared" si="122"/>
        <v>1307.1290322580644</v>
      </c>
      <c r="AC204" s="16">
        <f t="shared" si="115"/>
        <v>13642.548387096773</v>
      </c>
    </row>
    <row r="205" spans="1:29" x14ac:dyDescent="0.2">
      <c r="A205" s="10" t="s">
        <v>415</v>
      </c>
      <c r="B205" s="11">
        <f t="shared" si="119"/>
        <v>200</v>
      </c>
      <c r="C205" s="11" t="s">
        <v>324</v>
      </c>
      <c r="D205" s="19" t="s">
        <v>50</v>
      </c>
      <c r="E205" s="11" t="s">
        <v>239</v>
      </c>
      <c r="F205" s="20">
        <v>42826</v>
      </c>
      <c r="G205" s="11">
        <v>37</v>
      </c>
      <c r="H205" s="13">
        <f t="shared" si="111"/>
        <v>5967.7419354838703</v>
      </c>
      <c r="I205" s="13">
        <f t="shared" si="116"/>
        <v>0</v>
      </c>
      <c r="J205" s="13">
        <f t="shared" si="117"/>
        <v>298.38709677419354</v>
      </c>
      <c r="L205" s="13">
        <f t="shared" si="120"/>
        <v>954.83870967741927</v>
      </c>
      <c r="N205" s="13">
        <f>((1950+1441+839+0)/G$3)*G205</f>
        <v>5048.7096774193542</v>
      </c>
      <c r="P205" s="13">
        <f t="shared" si="96"/>
        <v>12269.677419354837</v>
      </c>
      <c r="Q205" s="12">
        <f t="shared" si="112"/>
        <v>716.1290322580644</v>
      </c>
      <c r="R205" s="12">
        <f t="shared" si="84"/>
        <v>215</v>
      </c>
      <c r="S205" s="21">
        <v>0</v>
      </c>
      <c r="T205" s="13">
        <v>0</v>
      </c>
      <c r="U205" s="13">
        <f t="shared" si="121"/>
        <v>931.1290322580644</v>
      </c>
      <c r="V205" s="13">
        <f t="shared" si="113"/>
        <v>11338.548387096773</v>
      </c>
      <c r="X205" s="13">
        <f t="shared" si="79"/>
        <v>11338.548387096773</v>
      </c>
      <c r="Y205" s="12">
        <f t="shared" si="118"/>
        <v>784.75806451612902</v>
      </c>
      <c r="Z205" s="12">
        <f t="shared" si="114"/>
        <v>583</v>
      </c>
      <c r="AA205" s="1">
        <f t="shared" si="81"/>
        <v>0</v>
      </c>
      <c r="AB205" s="16">
        <f t="shared" si="122"/>
        <v>1367.758064516129</v>
      </c>
      <c r="AC205" s="16">
        <f t="shared" si="115"/>
        <v>13637.435483870966</v>
      </c>
    </row>
    <row r="206" spans="1:29" x14ac:dyDescent="0.2">
      <c r="A206" s="10" t="s">
        <v>331</v>
      </c>
      <c r="B206" s="11">
        <f t="shared" si="119"/>
        <v>201</v>
      </c>
      <c r="C206" s="11" t="s">
        <v>325</v>
      </c>
      <c r="D206" s="19" t="s">
        <v>50</v>
      </c>
      <c r="E206" s="11" t="s">
        <v>242</v>
      </c>
      <c r="F206" s="20">
        <v>42826</v>
      </c>
      <c r="G206" s="11">
        <v>37</v>
      </c>
      <c r="H206" s="13">
        <f t="shared" si="111"/>
        <v>5967.7419354838703</v>
      </c>
      <c r="I206" s="13">
        <f t="shared" si="116"/>
        <v>0</v>
      </c>
      <c r="J206" s="13">
        <f t="shared" si="117"/>
        <v>298.38709677419354</v>
      </c>
      <c r="L206" s="13">
        <f t="shared" si="120"/>
        <v>954.83870967741927</v>
      </c>
      <c r="N206" s="13">
        <f>((1950+1441+839+0)/G$3)*G206</f>
        <v>5048.7096774193542</v>
      </c>
      <c r="P206" s="13">
        <f t="shared" si="96"/>
        <v>12269.677419354837</v>
      </c>
      <c r="Q206" s="12">
        <f t="shared" si="112"/>
        <v>716.1290322580644</v>
      </c>
      <c r="R206" s="12">
        <f t="shared" si="84"/>
        <v>215</v>
      </c>
      <c r="S206" s="21">
        <v>0</v>
      </c>
      <c r="T206" s="13">
        <v>0</v>
      </c>
      <c r="U206" s="13">
        <f t="shared" si="121"/>
        <v>931.1290322580644</v>
      </c>
      <c r="V206" s="13">
        <f t="shared" si="113"/>
        <v>11338.548387096773</v>
      </c>
      <c r="X206" s="13">
        <f t="shared" si="79"/>
        <v>11338.548387096773</v>
      </c>
      <c r="Y206" s="12">
        <f t="shared" si="118"/>
        <v>784.75806451612902</v>
      </c>
      <c r="Z206" s="12">
        <f t="shared" si="114"/>
        <v>583</v>
      </c>
      <c r="AA206" s="1">
        <f t="shared" si="81"/>
        <v>0</v>
      </c>
      <c r="AB206" s="16">
        <f t="shared" si="122"/>
        <v>1367.758064516129</v>
      </c>
      <c r="AC206" s="16">
        <f t="shared" si="115"/>
        <v>13637.435483870966</v>
      </c>
    </row>
    <row r="207" spans="1:29" x14ac:dyDescent="0.2">
      <c r="A207" s="10" t="s">
        <v>416</v>
      </c>
      <c r="B207" s="11">
        <f t="shared" si="119"/>
        <v>202</v>
      </c>
      <c r="C207" s="11" t="s">
        <v>326</v>
      </c>
      <c r="D207" s="19" t="s">
        <v>50</v>
      </c>
      <c r="E207" s="11" t="s">
        <v>239</v>
      </c>
      <c r="F207" s="20">
        <v>42826</v>
      </c>
      <c r="G207" s="11">
        <v>29</v>
      </c>
      <c r="H207" s="13">
        <f t="shared" si="111"/>
        <v>4677.4193548387093</v>
      </c>
      <c r="I207" s="13">
        <f t="shared" si="116"/>
        <v>0</v>
      </c>
      <c r="J207" s="13">
        <f t="shared" si="117"/>
        <v>233.87096774193549</v>
      </c>
      <c r="L207" s="13">
        <f t="shared" si="120"/>
        <v>748.38709677419354</v>
      </c>
      <c r="N207" s="13">
        <f>((1950+1441-178+1526+1018+0)/G$3)*G207</f>
        <v>5385.5806451612907</v>
      </c>
      <c r="P207" s="13">
        <f t="shared" si="96"/>
        <v>11045.258064516129</v>
      </c>
      <c r="Q207" s="12">
        <f t="shared" si="112"/>
        <v>561.29032258064512</v>
      </c>
      <c r="R207" s="12">
        <f t="shared" si="84"/>
        <v>194</v>
      </c>
      <c r="S207" s="21">
        <v>0</v>
      </c>
      <c r="T207" s="13">
        <v>0</v>
      </c>
      <c r="U207" s="13">
        <f t="shared" si="121"/>
        <v>755.29032258064512</v>
      </c>
      <c r="V207" s="13">
        <f t="shared" si="113"/>
        <v>10289.967741935483</v>
      </c>
      <c r="X207" s="13">
        <f t="shared" si="79"/>
        <v>10289.967741935483</v>
      </c>
      <c r="Y207" s="12">
        <f t="shared" si="118"/>
        <v>615.08064516129025</v>
      </c>
      <c r="Z207" s="12">
        <f t="shared" si="114"/>
        <v>525</v>
      </c>
      <c r="AA207" s="1">
        <f t="shared" si="81"/>
        <v>0</v>
      </c>
      <c r="AB207" s="16">
        <f t="shared" si="122"/>
        <v>1140.0806451612902</v>
      </c>
      <c r="AC207" s="16">
        <f t="shared" si="115"/>
        <v>12185.338709677419</v>
      </c>
    </row>
    <row r="208" spans="1:29" x14ac:dyDescent="0.2">
      <c r="A208" s="10" t="s">
        <v>417</v>
      </c>
      <c r="B208" s="11">
        <f t="shared" si="119"/>
        <v>203</v>
      </c>
      <c r="C208" s="11" t="s">
        <v>327</v>
      </c>
      <c r="D208" s="19" t="s">
        <v>50</v>
      </c>
      <c r="E208" s="11" t="s">
        <v>234</v>
      </c>
      <c r="F208" s="20">
        <v>42826</v>
      </c>
      <c r="G208" s="11">
        <v>36</v>
      </c>
      <c r="H208" s="13">
        <f t="shared" si="111"/>
        <v>5806.4516129032254</v>
      </c>
      <c r="I208" s="13">
        <f t="shared" si="116"/>
        <v>0</v>
      </c>
      <c r="J208" s="13">
        <f t="shared" si="117"/>
        <v>290.32258064516128</v>
      </c>
      <c r="L208" s="13">
        <f t="shared" si="120"/>
        <v>929.0322580645161</v>
      </c>
      <c r="N208" s="13">
        <f>((1950+1441-178+1017+1018+0)/G$3)*G208</f>
        <v>6094.4516129032254</v>
      </c>
      <c r="P208" s="13">
        <f t="shared" si="96"/>
        <v>13120.258064516129</v>
      </c>
      <c r="Q208" s="12">
        <f t="shared" si="112"/>
        <v>696.77419354838707</v>
      </c>
      <c r="R208" s="12">
        <f t="shared" si="84"/>
        <v>230</v>
      </c>
      <c r="S208" s="21">
        <v>0</v>
      </c>
      <c r="T208" s="13">
        <v>0</v>
      </c>
      <c r="U208" s="13">
        <f t="shared" si="121"/>
        <v>926.77419354838707</v>
      </c>
      <c r="V208" s="13">
        <f t="shared" si="113"/>
        <v>12193.483870967742</v>
      </c>
      <c r="X208" s="13">
        <f t="shared" si="79"/>
        <v>12193.483870967742</v>
      </c>
      <c r="Y208" s="12">
        <f t="shared" si="118"/>
        <v>763.54838709677415</v>
      </c>
      <c r="Z208" s="12">
        <f t="shared" si="114"/>
        <v>624</v>
      </c>
      <c r="AA208" s="1">
        <f t="shared" si="81"/>
        <v>0</v>
      </c>
      <c r="AB208" s="16">
        <f t="shared" si="122"/>
        <v>1387.5483870967741</v>
      </c>
      <c r="AC208" s="16">
        <f t="shared" si="115"/>
        <v>14507.806451612903</v>
      </c>
    </row>
    <row r="209" spans="1:29" x14ac:dyDescent="0.2">
      <c r="A209" s="10" t="s">
        <v>419</v>
      </c>
      <c r="B209" s="11">
        <f t="shared" si="119"/>
        <v>204</v>
      </c>
      <c r="C209" s="11" t="s">
        <v>328</v>
      </c>
      <c r="D209" s="19" t="s">
        <v>50</v>
      </c>
      <c r="E209" s="11" t="s">
        <v>234</v>
      </c>
      <c r="F209" s="20">
        <v>42826</v>
      </c>
      <c r="G209" s="11">
        <v>29</v>
      </c>
      <c r="H209" s="13">
        <f t="shared" si="111"/>
        <v>4677.4193548387093</v>
      </c>
      <c r="I209" s="13">
        <f t="shared" si="116"/>
        <v>0</v>
      </c>
      <c r="J209" s="13">
        <f t="shared" si="117"/>
        <v>233.87096774193549</v>
      </c>
      <c r="L209" s="13">
        <f t="shared" si="120"/>
        <v>748.38709677419354</v>
      </c>
      <c r="N209" s="13">
        <f>((1950+1441-178+1017+1018+0)/G$3)*G209</f>
        <v>4909.4193548387093</v>
      </c>
      <c r="P209" s="13">
        <f t="shared" si="96"/>
        <v>10569.096774193547</v>
      </c>
      <c r="Q209" s="12">
        <f t="shared" si="112"/>
        <v>561.29032258064512</v>
      </c>
      <c r="R209" s="12">
        <f t="shared" si="84"/>
        <v>185</v>
      </c>
      <c r="S209" s="21">
        <v>0</v>
      </c>
      <c r="T209" s="13">
        <v>0</v>
      </c>
      <c r="U209" s="13">
        <f t="shared" si="121"/>
        <v>746.29032258064512</v>
      </c>
      <c r="V209" s="13">
        <f t="shared" si="113"/>
        <v>9822.8064516129016</v>
      </c>
      <c r="X209" s="13">
        <f t="shared" si="79"/>
        <v>9822.8064516129016</v>
      </c>
      <c r="Y209" s="12">
        <f t="shared" si="118"/>
        <v>615.08064516129025</v>
      </c>
      <c r="Z209" s="12">
        <f t="shared" si="114"/>
        <v>503</v>
      </c>
      <c r="AA209" s="1">
        <f t="shared" si="81"/>
        <v>0</v>
      </c>
      <c r="AB209" s="16">
        <f t="shared" si="122"/>
        <v>1118.0806451612902</v>
      </c>
      <c r="AC209" s="16">
        <f t="shared" si="115"/>
        <v>11687.177419354837</v>
      </c>
    </row>
    <row r="210" spans="1:29" x14ac:dyDescent="0.2">
      <c r="A210" s="10" t="s">
        <v>420</v>
      </c>
      <c r="B210" s="11">
        <f t="shared" si="119"/>
        <v>205</v>
      </c>
      <c r="C210" s="11" t="s">
        <v>329</v>
      </c>
      <c r="D210" s="19" t="s">
        <v>50</v>
      </c>
      <c r="E210" s="11" t="s">
        <v>484</v>
      </c>
      <c r="F210" s="20">
        <v>42826</v>
      </c>
      <c r="G210" s="11">
        <v>37</v>
      </c>
      <c r="H210" s="13">
        <f t="shared" si="111"/>
        <v>5967.7419354838703</v>
      </c>
      <c r="I210" s="13">
        <f t="shared" si="116"/>
        <v>0</v>
      </c>
      <c r="J210" s="13">
        <f t="shared" si="117"/>
        <v>298.38709677419354</v>
      </c>
      <c r="L210" s="13">
        <f t="shared" si="120"/>
        <v>954.83870967741927</v>
      </c>
      <c r="N210" s="13">
        <f>((1950+1441+1806)/G$3)*G210</f>
        <v>6202.8709677419356</v>
      </c>
      <c r="P210" s="13">
        <f t="shared" ref="P210:P246" si="123">SUM(H210:O210)</f>
        <v>13423.838709677419</v>
      </c>
      <c r="Q210" s="12">
        <f t="shared" si="112"/>
        <v>716.1290322580644</v>
      </c>
      <c r="R210" s="12">
        <f t="shared" si="84"/>
        <v>235</v>
      </c>
      <c r="S210" s="21">
        <v>0</v>
      </c>
      <c r="T210" s="13">
        <v>0</v>
      </c>
      <c r="U210" s="13">
        <f t="shared" si="121"/>
        <v>951.1290322580644</v>
      </c>
      <c r="V210" s="13">
        <f t="shared" si="113"/>
        <v>12472.709677419354</v>
      </c>
      <c r="X210" s="13">
        <f t="shared" si="79"/>
        <v>12472.709677419354</v>
      </c>
      <c r="Y210" s="12">
        <f t="shared" si="118"/>
        <v>784.75806451612902</v>
      </c>
      <c r="Z210" s="12">
        <f t="shared" si="114"/>
        <v>638</v>
      </c>
      <c r="AA210" s="1">
        <f t="shared" si="81"/>
        <v>0</v>
      </c>
      <c r="AB210" s="16">
        <f t="shared" si="122"/>
        <v>1422.758064516129</v>
      </c>
      <c r="AC210" s="16">
        <f t="shared" si="115"/>
        <v>14846.596774193547</v>
      </c>
    </row>
    <row r="211" spans="1:29" x14ac:dyDescent="0.2">
      <c r="A211" s="10" t="s">
        <v>421</v>
      </c>
      <c r="B211" s="11">
        <f t="shared" si="119"/>
        <v>206</v>
      </c>
      <c r="C211" s="11" t="s">
        <v>330</v>
      </c>
      <c r="D211" s="19" t="s">
        <v>50</v>
      </c>
      <c r="E211" s="11" t="s">
        <v>239</v>
      </c>
      <c r="F211" s="20">
        <v>42826</v>
      </c>
      <c r="G211" s="11">
        <v>28</v>
      </c>
      <c r="H211" s="13">
        <f t="shared" si="111"/>
        <v>4516.1290322580644</v>
      </c>
      <c r="I211" s="13">
        <f t="shared" si="116"/>
        <v>0</v>
      </c>
      <c r="J211" s="13">
        <f t="shared" si="117"/>
        <v>225.80645161290323</v>
      </c>
      <c r="L211" s="13">
        <f t="shared" si="120"/>
        <v>722.58064516129025</v>
      </c>
      <c r="N211" s="13">
        <f>((1950+1441+839+0)/G$3)*G211</f>
        <v>3820.645161290322</v>
      </c>
      <c r="P211" s="13">
        <f t="shared" si="123"/>
        <v>9285.1612903225796</v>
      </c>
      <c r="Q211" s="12">
        <f t="shared" si="112"/>
        <v>541.93548387096769</v>
      </c>
      <c r="R211" s="12">
        <f t="shared" si="84"/>
        <v>163</v>
      </c>
      <c r="S211" s="21">
        <v>0</v>
      </c>
      <c r="T211" s="13">
        <v>0</v>
      </c>
      <c r="U211" s="13">
        <f t="shared" si="121"/>
        <v>704.93548387096769</v>
      </c>
      <c r="V211" s="13">
        <f t="shared" si="113"/>
        <v>8580.2258064516118</v>
      </c>
      <c r="X211" s="13">
        <f t="shared" si="79"/>
        <v>8580.2258064516118</v>
      </c>
      <c r="Y211" s="12">
        <f t="shared" si="118"/>
        <v>593.87096774193549</v>
      </c>
      <c r="Z211" s="12">
        <f t="shared" si="114"/>
        <v>442</v>
      </c>
      <c r="AA211" s="1">
        <f t="shared" si="81"/>
        <v>0</v>
      </c>
      <c r="AB211" s="16">
        <f t="shared" si="122"/>
        <v>1035.8709677419356</v>
      </c>
      <c r="AC211" s="16">
        <f t="shared" si="115"/>
        <v>10321.032258064515</v>
      </c>
    </row>
    <row r="212" spans="1:29" x14ac:dyDescent="0.2">
      <c r="A212" s="10" t="s">
        <v>590</v>
      </c>
      <c r="B212" s="11">
        <f t="shared" si="119"/>
        <v>207</v>
      </c>
      <c r="C212" s="11" t="s">
        <v>356</v>
      </c>
      <c r="D212" s="19" t="s">
        <v>50</v>
      </c>
      <c r="E212" s="19" t="s">
        <v>240</v>
      </c>
      <c r="F212" s="20">
        <v>42856</v>
      </c>
      <c r="G212" s="11">
        <v>21</v>
      </c>
      <c r="H212" s="13">
        <f t="shared" si="111"/>
        <v>3387.0967741935483</v>
      </c>
      <c r="I212" s="13">
        <f t="shared" si="116"/>
        <v>0</v>
      </c>
      <c r="J212" s="13">
        <f t="shared" si="117"/>
        <v>169.35483870967744</v>
      </c>
      <c r="L212" s="13">
        <f t="shared" si="120"/>
        <v>541.93548387096769</v>
      </c>
      <c r="N212" s="13">
        <f>((1950+1441+839+0)/G$3)*G212</f>
        <v>2865.4838709677415</v>
      </c>
      <c r="P212" s="13">
        <f t="shared" si="123"/>
        <v>6963.8709677419347</v>
      </c>
      <c r="Q212" s="12">
        <f t="shared" si="112"/>
        <v>406.45161290322579</v>
      </c>
      <c r="R212" s="12">
        <f t="shared" si="84"/>
        <v>122</v>
      </c>
      <c r="S212" s="21">
        <v>0</v>
      </c>
      <c r="T212" s="13">
        <v>0</v>
      </c>
      <c r="U212" s="13">
        <f t="shared" si="121"/>
        <v>528.45161290322585</v>
      </c>
      <c r="V212" s="13">
        <f t="shared" si="113"/>
        <v>6435.4193548387084</v>
      </c>
      <c r="X212" s="13">
        <f t="shared" si="79"/>
        <v>6435.4193548387084</v>
      </c>
      <c r="Y212" s="12">
        <f t="shared" si="118"/>
        <v>445.40322580645164</v>
      </c>
      <c r="Z212" s="12">
        <f t="shared" si="114"/>
        <v>331</v>
      </c>
      <c r="AA212" s="1">
        <f t="shared" si="81"/>
        <v>0</v>
      </c>
      <c r="AB212" s="16">
        <f t="shared" si="122"/>
        <v>776.4032258064517</v>
      </c>
      <c r="AC212" s="16">
        <f t="shared" si="115"/>
        <v>7740.2741935483864</v>
      </c>
    </row>
    <row r="213" spans="1:29" x14ac:dyDescent="0.2">
      <c r="A213" s="10" t="s">
        <v>594</v>
      </c>
      <c r="B213" s="11">
        <f t="shared" si="119"/>
        <v>208</v>
      </c>
      <c r="C213" s="11" t="s">
        <v>259</v>
      </c>
      <c r="D213" s="19" t="s">
        <v>50</v>
      </c>
      <c r="E213" s="19" t="s">
        <v>234</v>
      </c>
      <c r="F213" s="20">
        <v>42870</v>
      </c>
      <c r="G213" s="11">
        <v>33</v>
      </c>
      <c r="H213" s="13">
        <f t="shared" si="111"/>
        <v>5322.5806451612898</v>
      </c>
      <c r="I213" s="13">
        <f t="shared" si="116"/>
        <v>0</v>
      </c>
      <c r="J213" s="13">
        <f t="shared" si="117"/>
        <v>266.12903225806451</v>
      </c>
      <c r="L213" s="13">
        <f t="shared" si="120"/>
        <v>851.61290322580635</v>
      </c>
      <c r="N213" s="13">
        <f t="shared" ref="N213:N221" si="124">((1950+1441-178+1017+1018+0)/G$3)*G213</f>
        <v>5586.5806451612898</v>
      </c>
      <c r="P213" s="13">
        <f t="shared" si="123"/>
        <v>12026.903225806451</v>
      </c>
      <c r="Q213" s="12">
        <f t="shared" si="112"/>
        <v>638.70967741935476</v>
      </c>
      <c r="R213" s="12">
        <f t="shared" si="84"/>
        <v>211</v>
      </c>
      <c r="S213" s="21">
        <v>0</v>
      </c>
      <c r="T213" s="13">
        <v>0</v>
      </c>
      <c r="U213" s="13">
        <f t="shared" si="121"/>
        <v>849.70967741935476</v>
      </c>
      <c r="V213" s="13">
        <f t="shared" si="113"/>
        <v>11177.193548387097</v>
      </c>
      <c r="X213" s="13">
        <f t="shared" si="79"/>
        <v>11177.193548387097</v>
      </c>
      <c r="Y213" s="12">
        <f t="shared" si="118"/>
        <v>699.91935483870964</v>
      </c>
      <c r="Z213" s="12">
        <f t="shared" si="114"/>
        <v>572</v>
      </c>
      <c r="AA213" s="1">
        <f t="shared" si="81"/>
        <v>0</v>
      </c>
      <c r="AB213" s="16">
        <f t="shared" si="122"/>
        <v>1271.9193548387098</v>
      </c>
      <c r="AC213" s="16">
        <f t="shared" si="115"/>
        <v>13298.822580645161</v>
      </c>
    </row>
    <row r="214" spans="1:29" x14ac:dyDescent="0.2">
      <c r="A214" s="10" t="s">
        <v>597</v>
      </c>
      <c r="B214" s="11">
        <f t="shared" si="119"/>
        <v>209</v>
      </c>
      <c r="C214" s="11" t="s">
        <v>363</v>
      </c>
      <c r="D214" s="19" t="s">
        <v>50</v>
      </c>
      <c r="E214" s="19" t="s">
        <v>234</v>
      </c>
      <c r="F214" s="20">
        <v>42856</v>
      </c>
      <c r="G214" s="11">
        <v>34.5</v>
      </c>
      <c r="H214" s="13">
        <f t="shared" si="111"/>
        <v>5564.5161290322576</v>
      </c>
      <c r="I214" s="13">
        <f t="shared" si="116"/>
        <v>0</v>
      </c>
      <c r="J214" s="13">
        <f t="shared" si="117"/>
        <v>278.22580645161287</v>
      </c>
      <c r="L214" s="13">
        <f t="shared" si="120"/>
        <v>890.32258064516122</v>
      </c>
      <c r="N214" s="13">
        <f t="shared" si="124"/>
        <v>5840.5161290322576</v>
      </c>
      <c r="P214" s="13">
        <f t="shared" si="123"/>
        <v>12573.580645161288</v>
      </c>
      <c r="Q214" s="12">
        <f t="shared" si="112"/>
        <v>667.74193548387086</v>
      </c>
      <c r="R214" s="12">
        <f t="shared" si="84"/>
        <v>221</v>
      </c>
      <c r="S214" s="21">
        <v>0</v>
      </c>
      <c r="T214" s="13">
        <v>0</v>
      </c>
      <c r="U214" s="13">
        <f t="shared" si="121"/>
        <v>888.74193548387086</v>
      </c>
      <c r="V214" s="13">
        <f t="shared" si="113"/>
        <v>11684.838709677417</v>
      </c>
      <c r="X214" s="13">
        <f t="shared" si="79"/>
        <v>11684.838709677417</v>
      </c>
      <c r="Y214" s="12">
        <f t="shared" si="118"/>
        <v>731.73387096774195</v>
      </c>
      <c r="Z214" s="12">
        <f t="shared" si="114"/>
        <v>598</v>
      </c>
      <c r="AA214" s="1">
        <f t="shared" si="81"/>
        <v>0</v>
      </c>
      <c r="AB214" s="16">
        <f t="shared" si="122"/>
        <v>1329.733870967742</v>
      </c>
      <c r="AC214" s="16">
        <f t="shared" si="115"/>
        <v>13903.31451612903</v>
      </c>
    </row>
    <row r="215" spans="1:29" x14ac:dyDescent="0.2">
      <c r="A215" s="10" t="s">
        <v>598</v>
      </c>
      <c r="B215" s="11">
        <f t="shared" si="119"/>
        <v>210</v>
      </c>
      <c r="C215" s="11" t="s">
        <v>364</v>
      </c>
      <c r="D215" s="19" t="s">
        <v>50</v>
      </c>
      <c r="E215" s="19" t="s">
        <v>234</v>
      </c>
      <c r="F215" s="20">
        <v>42856</v>
      </c>
      <c r="G215" s="11">
        <v>33.5</v>
      </c>
      <c r="H215" s="13">
        <f t="shared" si="111"/>
        <v>5403.2258064516127</v>
      </c>
      <c r="I215" s="13">
        <f t="shared" si="116"/>
        <v>0</v>
      </c>
      <c r="J215" s="13">
        <f t="shared" si="117"/>
        <v>270.16129032258067</v>
      </c>
      <c r="L215" s="13">
        <f t="shared" si="120"/>
        <v>864.51612903225805</v>
      </c>
      <c r="N215" s="13">
        <f t="shared" si="124"/>
        <v>5671.2258064516127</v>
      </c>
      <c r="P215" s="13">
        <f t="shared" si="123"/>
        <v>12209.129032258064</v>
      </c>
      <c r="Q215" s="12">
        <f t="shared" si="112"/>
        <v>648.38709677419354</v>
      </c>
      <c r="R215" s="12">
        <f t="shared" si="84"/>
        <v>214</v>
      </c>
      <c r="S215" s="21">
        <v>0</v>
      </c>
      <c r="T215" s="13">
        <v>0</v>
      </c>
      <c r="U215" s="13">
        <f t="shared" si="121"/>
        <v>862.38709677419354</v>
      </c>
      <c r="V215" s="13">
        <f t="shared" si="113"/>
        <v>11346.741935483871</v>
      </c>
      <c r="X215" s="13">
        <f t="shared" si="79"/>
        <v>11346.741935483871</v>
      </c>
      <c r="Y215" s="12">
        <f t="shared" si="118"/>
        <v>710.52419354838707</v>
      </c>
      <c r="Z215" s="12">
        <f t="shared" si="114"/>
        <v>580</v>
      </c>
      <c r="AA215" s="1">
        <f t="shared" si="81"/>
        <v>0</v>
      </c>
      <c r="AB215" s="16">
        <f t="shared" si="122"/>
        <v>1290.5241935483871</v>
      </c>
      <c r="AC215" s="16">
        <f t="shared" si="115"/>
        <v>13499.653225806451</v>
      </c>
    </row>
    <row r="216" spans="1:29" x14ac:dyDescent="0.2">
      <c r="A216" s="10" t="s">
        <v>599</v>
      </c>
      <c r="B216" s="11">
        <f t="shared" si="119"/>
        <v>211</v>
      </c>
      <c r="C216" s="11" t="s">
        <v>365</v>
      </c>
      <c r="D216" s="19" t="s">
        <v>50</v>
      </c>
      <c r="E216" s="19" t="s">
        <v>234</v>
      </c>
      <c r="F216" s="20">
        <v>42856</v>
      </c>
      <c r="G216" s="11">
        <v>26</v>
      </c>
      <c r="H216" s="13">
        <f t="shared" si="111"/>
        <v>4193.5483870967737</v>
      </c>
      <c r="I216" s="13">
        <f t="shared" si="116"/>
        <v>0</v>
      </c>
      <c r="J216" s="13">
        <f t="shared" si="117"/>
        <v>209.67741935483869</v>
      </c>
      <c r="L216" s="13">
        <f t="shared" si="120"/>
        <v>670.96774193548379</v>
      </c>
      <c r="N216" s="13">
        <f t="shared" si="124"/>
        <v>4401.5483870967737</v>
      </c>
      <c r="P216" s="13">
        <f t="shared" si="123"/>
        <v>9475.7419354838712</v>
      </c>
      <c r="Q216" s="12">
        <f t="shared" si="112"/>
        <v>503.22580645161281</v>
      </c>
      <c r="R216" s="12">
        <f t="shared" si="84"/>
        <v>166</v>
      </c>
      <c r="S216" s="21">
        <v>0</v>
      </c>
      <c r="T216" s="13">
        <v>0</v>
      </c>
      <c r="U216" s="13">
        <f t="shared" si="121"/>
        <v>669.22580645161281</v>
      </c>
      <c r="V216" s="13">
        <f t="shared" si="113"/>
        <v>8806.5161290322576</v>
      </c>
      <c r="X216" s="13">
        <f t="shared" si="79"/>
        <v>8806.5161290322576</v>
      </c>
      <c r="Y216" s="12">
        <f t="shared" si="118"/>
        <v>551.45161290322574</v>
      </c>
      <c r="Z216" s="12">
        <f t="shared" si="114"/>
        <v>451</v>
      </c>
      <c r="AA216" s="1">
        <f t="shared" si="81"/>
        <v>0</v>
      </c>
      <c r="AB216" s="16">
        <f t="shared" si="122"/>
        <v>1002.4516129032257</v>
      </c>
      <c r="AC216" s="16">
        <f t="shared" si="115"/>
        <v>10478.193548387097</v>
      </c>
    </row>
    <row r="217" spans="1:29" x14ac:dyDescent="0.2">
      <c r="A217" s="10" t="s">
        <v>600</v>
      </c>
      <c r="B217" s="11">
        <f t="shared" si="119"/>
        <v>212</v>
      </c>
      <c r="C217" s="11" t="s">
        <v>366</v>
      </c>
      <c r="D217" s="19" t="s">
        <v>50</v>
      </c>
      <c r="E217" s="19" t="s">
        <v>234</v>
      </c>
      <c r="F217" s="20">
        <v>42856</v>
      </c>
      <c r="G217" s="11">
        <v>6</v>
      </c>
      <c r="H217" s="13">
        <f t="shared" si="111"/>
        <v>967.74193548387098</v>
      </c>
      <c r="I217" s="13">
        <f t="shared" si="116"/>
        <v>0</v>
      </c>
      <c r="J217" s="13">
        <f t="shared" si="117"/>
        <v>48.387096774193552</v>
      </c>
      <c r="L217" s="13">
        <f t="shared" si="120"/>
        <v>154.83870967741933</v>
      </c>
      <c r="N217" s="13">
        <f t="shared" si="124"/>
        <v>1015.741935483871</v>
      </c>
      <c r="P217" s="13">
        <f t="shared" si="123"/>
        <v>2186.7096774193551</v>
      </c>
      <c r="Q217" s="12">
        <f t="shared" si="112"/>
        <v>116.12903225806451</v>
      </c>
      <c r="R217" s="12">
        <f t="shared" si="84"/>
        <v>39</v>
      </c>
      <c r="S217" s="21">
        <v>0</v>
      </c>
      <c r="T217" s="13">
        <v>0</v>
      </c>
      <c r="U217" s="13">
        <f t="shared" si="121"/>
        <v>155.12903225806451</v>
      </c>
      <c r="V217" s="13">
        <f t="shared" si="113"/>
        <v>2031.5806451612907</v>
      </c>
      <c r="X217" s="13">
        <f t="shared" si="79"/>
        <v>2031.5806451612907</v>
      </c>
      <c r="Y217" s="12">
        <f t="shared" si="118"/>
        <v>127.25806451612904</v>
      </c>
      <c r="Z217" s="12">
        <f t="shared" si="114"/>
        <v>104</v>
      </c>
      <c r="AA217" s="1">
        <f t="shared" si="81"/>
        <v>0</v>
      </c>
      <c r="AB217" s="16">
        <f t="shared" si="122"/>
        <v>231.25806451612902</v>
      </c>
      <c r="AC217" s="16">
        <f t="shared" si="115"/>
        <v>2417.9677419354839</v>
      </c>
    </row>
    <row r="218" spans="1:29" x14ac:dyDescent="0.2">
      <c r="A218" s="10" t="s">
        <v>601</v>
      </c>
      <c r="B218" s="11">
        <f t="shared" si="119"/>
        <v>213</v>
      </c>
      <c r="C218" s="11" t="s">
        <v>368</v>
      </c>
      <c r="D218" s="19" t="s">
        <v>50</v>
      </c>
      <c r="E218" s="19" t="s">
        <v>234</v>
      </c>
      <c r="F218" s="20">
        <v>42856</v>
      </c>
      <c r="G218" s="11">
        <v>25</v>
      </c>
      <c r="H218" s="13">
        <f t="shared" si="111"/>
        <v>4032.2580645161288</v>
      </c>
      <c r="I218" s="13">
        <f t="shared" si="116"/>
        <v>0</v>
      </c>
      <c r="J218" s="13">
        <f t="shared" si="117"/>
        <v>201.61290322580646</v>
      </c>
      <c r="L218" s="13">
        <f t="shared" si="120"/>
        <v>645.16129032258061</v>
      </c>
      <c r="N218" s="13">
        <f t="shared" si="124"/>
        <v>4232.2580645161288</v>
      </c>
      <c r="P218" s="13">
        <f t="shared" si="123"/>
        <v>9111.290322580644</v>
      </c>
      <c r="Q218" s="12">
        <f t="shared" si="112"/>
        <v>483.87096774193543</v>
      </c>
      <c r="R218" s="12">
        <f t="shared" si="84"/>
        <v>160</v>
      </c>
      <c r="S218" s="21">
        <v>0</v>
      </c>
      <c r="T218" s="13">
        <v>0</v>
      </c>
      <c r="U218" s="13">
        <f t="shared" si="121"/>
        <v>643.87096774193537</v>
      </c>
      <c r="V218" s="13">
        <f t="shared" si="113"/>
        <v>8467.4193548387084</v>
      </c>
      <c r="X218" s="13">
        <f t="shared" si="79"/>
        <v>8467.4193548387084</v>
      </c>
      <c r="Y218" s="12">
        <f t="shared" si="118"/>
        <v>530.24193548387098</v>
      </c>
      <c r="Z218" s="12">
        <f t="shared" si="114"/>
        <v>433</v>
      </c>
      <c r="AA218" s="1">
        <f t="shared" si="81"/>
        <v>0</v>
      </c>
      <c r="AB218" s="16">
        <f t="shared" si="122"/>
        <v>963.24193548387098</v>
      </c>
      <c r="AC218" s="16">
        <f t="shared" si="115"/>
        <v>10074.532258064515</v>
      </c>
    </row>
    <row r="219" spans="1:29" x14ac:dyDescent="0.2">
      <c r="A219" s="10" t="s">
        <v>603</v>
      </c>
      <c r="B219" s="11">
        <f t="shared" si="119"/>
        <v>214</v>
      </c>
      <c r="C219" s="11" t="s">
        <v>370</v>
      </c>
      <c r="D219" s="19" t="s">
        <v>50</v>
      </c>
      <c r="E219" s="19" t="s">
        <v>234</v>
      </c>
      <c r="F219" s="20">
        <v>42856</v>
      </c>
      <c r="G219" s="11">
        <v>37</v>
      </c>
      <c r="H219" s="13">
        <f t="shared" si="111"/>
        <v>5967.7419354838703</v>
      </c>
      <c r="I219" s="13">
        <f t="shared" si="116"/>
        <v>0</v>
      </c>
      <c r="J219" s="13">
        <f t="shared" si="117"/>
        <v>298.38709677419354</v>
      </c>
      <c r="L219" s="13">
        <f t="shared" si="120"/>
        <v>954.83870967741927</v>
      </c>
      <c r="N219" s="13">
        <f t="shared" si="124"/>
        <v>6263.7419354838703</v>
      </c>
      <c r="P219" s="13">
        <f t="shared" si="123"/>
        <v>13484.709677419352</v>
      </c>
      <c r="Q219" s="12">
        <f t="shared" si="112"/>
        <v>716.1290322580644</v>
      </c>
      <c r="R219" s="12">
        <f t="shared" si="84"/>
        <v>236</v>
      </c>
      <c r="S219" s="21">
        <v>0</v>
      </c>
      <c r="T219" s="13">
        <v>0</v>
      </c>
      <c r="U219" s="13">
        <f t="shared" si="121"/>
        <v>952.1290322580644</v>
      </c>
      <c r="V219" s="13">
        <f t="shared" si="113"/>
        <v>12532.580645161288</v>
      </c>
      <c r="X219" s="13">
        <f t="shared" si="79"/>
        <v>12532.580645161288</v>
      </c>
      <c r="Y219" s="12">
        <f t="shared" si="118"/>
        <v>784.75806451612902</v>
      </c>
      <c r="Z219" s="12">
        <f t="shared" si="114"/>
        <v>641</v>
      </c>
      <c r="AA219" s="1">
        <f t="shared" si="81"/>
        <v>0</v>
      </c>
      <c r="AB219" s="16">
        <f t="shared" si="122"/>
        <v>1425.758064516129</v>
      </c>
      <c r="AC219" s="16">
        <f t="shared" si="115"/>
        <v>14910.467741935481</v>
      </c>
    </row>
    <row r="220" spans="1:29" x14ac:dyDescent="0.2">
      <c r="A220" s="10" t="s">
        <v>604</v>
      </c>
      <c r="B220" s="11">
        <f t="shared" si="119"/>
        <v>215</v>
      </c>
      <c r="C220" s="11" t="s">
        <v>371</v>
      </c>
      <c r="D220" s="19" t="s">
        <v>50</v>
      </c>
      <c r="E220" s="19" t="s">
        <v>234</v>
      </c>
      <c r="F220" s="20">
        <v>42856</v>
      </c>
      <c r="G220" s="11">
        <v>31</v>
      </c>
      <c r="H220" s="13">
        <f t="shared" si="111"/>
        <v>5000</v>
      </c>
      <c r="I220" s="13">
        <f t="shared" si="116"/>
        <v>0</v>
      </c>
      <c r="J220" s="13">
        <f t="shared" si="117"/>
        <v>250</v>
      </c>
      <c r="L220" s="13">
        <f t="shared" si="120"/>
        <v>800</v>
      </c>
      <c r="N220" s="13">
        <f t="shared" si="124"/>
        <v>5248</v>
      </c>
      <c r="P220" s="13">
        <f t="shared" si="123"/>
        <v>11298</v>
      </c>
      <c r="Q220" s="12">
        <f t="shared" si="112"/>
        <v>600</v>
      </c>
      <c r="R220" s="12">
        <f t="shared" si="84"/>
        <v>198</v>
      </c>
      <c r="S220" s="21">
        <v>0</v>
      </c>
      <c r="T220" s="13">
        <v>0</v>
      </c>
      <c r="U220" s="13">
        <f t="shared" si="121"/>
        <v>798</v>
      </c>
      <c r="V220" s="13">
        <f t="shared" si="113"/>
        <v>10500</v>
      </c>
      <c r="X220" s="13">
        <f t="shared" si="79"/>
        <v>10500</v>
      </c>
      <c r="Y220" s="12">
        <f t="shared" si="118"/>
        <v>657.5</v>
      </c>
      <c r="Z220" s="12">
        <f t="shared" si="114"/>
        <v>537</v>
      </c>
      <c r="AA220" s="1">
        <f t="shared" si="81"/>
        <v>0</v>
      </c>
      <c r="AB220" s="16">
        <f t="shared" si="122"/>
        <v>1194.5</v>
      </c>
      <c r="AC220" s="16">
        <f t="shared" si="115"/>
        <v>12492.5</v>
      </c>
    </row>
    <row r="221" spans="1:29" x14ac:dyDescent="0.2">
      <c r="A221" s="10" t="s">
        <v>605</v>
      </c>
      <c r="B221" s="11">
        <f t="shared" si="119"/>
        <v>216</v>
      </c>
      <c r="C221" s="11" t="s">
        <v>483</v>
      </c>
      <c r="D221" s="19" t="s">
        <v>50</v>
      </c>
      <c r="E221" s="19" t="s">
        <v>238</v>
      </c>
      <c r="F221" s="20">
        <v>42856</v>
      </c>
      <c r="G221" s="11">
        <v>32</v>
      </c>
      <c r="H221" s="13">
        <f t="shared" si="111"/>
        <v>5161.2903225806449</v>
      </c>
      <c r="I221" s="13">
        <f t="shared" si="116"/>
        <v>0</v>
      </c>
      <c r="J221" s="13">
        <f t="shared" si="117"/>
        <v>258.06451612903226</v>
      </c>
      <c r="L221" s="13">
        <f t="shared" si="120"/>
        <v>825.80645161290317</v>
      </c>
      <c r="N221" s="13">
        <f t="shared" si="124"/>
        <v>5417.2903225806449</v>
      </c>
      <c r="P221" s="13">
        <f t="shared" si="123"/>
        <v>11662.451612903225</v>
      </c>
      <c r="Q221" s="12">
        <f t="shared" si="112"/>
        <v>619.35483870967732</v>
      </c>
      <c r="R221" s="12">
        <f t="shared" si="84"/>
        <v>205</v>
      </c>
      <c r="S221" s="21">
        <v>0</v>
      </c>
      <c r="T221" s="13">
        <v>0</v>
      </c>
      <c r="U221" s="13">
        <f t="shared" si="121"/>
        <v>824.35483870967732</v>
      </c>
      <c r="V221" s="13">
        <f t="shared" si="113"/>
        <v>10838.096774193547</v>
      </c>
      <c r="X221" s="13">
        <f t="shared" si="79"/>
        <v>10838.096774193547</v>
      </c>
      <c r="Y221" s="12">
        <f t="shared" si="118"/>
        <v>678.70967741935488</v>
      </c>
      <c r="Z221" s="12">
        <f t="shared" si="114"/>
        <v>554</v>
      </c>
      <c r="AA221" s="1">
        <f t="shared" si="81"/>
        <v>0</v>
      </c>
      <c r="AB221" s="16">
        <f t="shared" si="122"/>
        <v>1232.7096774193549</v>
      </c>
      <c r="AC221" s="16">
        <f t="shared" si="115"/>
        <v>12895.16129032258</v>
      </c>
    </row>
    <row r="222" spans="1:29" x14ac:dyDescent="0.2">
      <c r="A222" s="10" t="s">
        <v>607</v>
      </c>
      <c r="B222" s="11">
        <f t="shared" si="119"/>
        <v>217</v>
      </c>
      <c r="C222" s="11" t="s">
        <v>373</v>
      </c>
      <c r="D222" s="19" t="s">
        <v>50</v>
      </c>
      <c r="E222" s="19" t="s">
        <v>709</v>
      </c>
      <c r="F222" s="20">
        <v>42856</v>
      </c>
      <c r="G222" s="11">
        <v>37</v>
      </c>
      <c r="H222" s="13">
        <f t="shared" si="111"/>
        <v>5967.7419354838703</v>
      </c>
      <c r="I222" s="13">
        <f t="shared" si="116"/>
        <v>0</v>
      </c>
      <c r="J222" s="13">
        <f t="shared" si="117"/>
        <v>298.38709677419354</v>
      </c>
      <c r="L222" s="13">
        <f t="shared" si="120"/>
        <v>954.83870967741927</v>
      </c>
      <c r="N222" s="13">
        <f>((1950+1441+1857+0)/G$3)*G222</f>
        <v>6263.7419354838703</v>
      </c>
      <c r="P222" s="13">
        <f t="shared" si="123"/>
        <v>13484.709677419352</v>
      </c>
      <c r="Q222" s="12">
        <f t="shared" si="112"/>
        <v>716.1290322580644</v>
      </c>
      <c r="R222" s="12">
        <f t="shared" si="84"/>
        <v>236</v>
      </c>
      <c r="S222" s="21">
        <v>0</v>
      </c>
      <c r="T222" s="13">
        <v>0</v>
      </c>
      <c r="U222" s="13">
        <f t="shared" si="121"/>
        <v>952.1290322580644</v>
      </c>
      <c r="V222" s="13">
        <f t="shared" si="113"/>
        <v>12532.580645161288</v>
      </c>
      <c r="X222" s="13">
        <f t="shared" si="79"/>
        <v>12532.580645161288</v>
      </c>
      <c r="Y222" s="12">
        <f t="shared" si="118"/>
        <v>784.75806451612902</v>
      </c>
      <c r="Z222" s="12">
        <f t="shared" si="114"/>
        <v>641</v>
      </c>
      <c r="AA222" s="1">
        <f t="shared" si="81"/>
        <v>0</v>
      </c>
      <c r="AB222" s="16">
        <f t="shared" si="122"/>
        <v>1425.758064516129</v>
      </c>
      <c r="AC222" s="16">
        <f t="shared" si="115"/>
        <v>14910.467741935481</v>
      </c>
    </row>
    <row r="223" spans="1:29" x14ac:dyDescent="0.2">
      <c r="A223" s="10" t="s">
        <v>608</v>
      </c>
      <c r="B223" s="11">
        <f t="shared" si="119"/>
        <v>218</v>
      </c>
      <c r="C223" s="11" t="s">
        <v>374</v>
      </c>
      <c r="D223" s="19" t="s">
        <v>50</v>
      </c>
      <c r="E223" s="19" t="s">
        <v>234</v>
      </c>
      <c r="F223" s="20">
        <v>42856</v>
      </c>
      <c r="G223" s="11">
        <v>31</v>
      </c>
      <c r="H223" s="13">
        <f t="shared" si="111"/>
        <v>5000</v>
      </c>
      <c r="I223" s="13">
        <f t="shared" si="116"/>
        <v>0</v>
      </c>
      <c r="J223" s="13">
        <f t="shared" si="117"/>
        <v>250</v>
      </c>
      <c r="L223" s="13">
        <f t="shared" si="120"/>
        <v>800</v>
      </c>
      <c r="N223" s="13">
        <f>((1950+1441+1857+0)/G$3)*G223</f>
        <v>5248</v>
      </c>
      <c r="P223" s="13">
        <f t="shared" si="123"/>
        <v>11298</v>
      </c>
      <c r="Q223" s="12">
        <f t="shared" si="112"/>
        <v>600</v>
      </c>
      <c r="R223" s="12">
        <f t="shared" si="84"/>
        <v>198</v>
      </c>
      <c r="S223" s="21">
        <v>0</v>
      </c>
      <c r="T223" s="13">
        <v>0</v>
      </c>
      <c r="U223" s="13">
        <f t="shared" si="121"/>
        <v>798</v>
      </c>
      <c r="V223" s="13">
        <f t="shared" si="113"/>
        <v>10500</v>
      </c>
      <c r="X223" s="13">
        <f t="shared" si="79"/>
        <v>10500</v>
      </c>
      <c r="Y223" s="12">
        <f t="shared" si="118"/>
        <v>657.5</v>
      </c>
      <c r="Z223" s="12">
        <f t="shared" si="114"/>
        <v>537</v>
      </c>
      <c r="AA223" s="1">
        <f t="shared" si="81"/>
        <v>0</v>
      </c>
      <c r="AB223" s="16">
        <f t="shared" si="122"/>
        <v>1194.5</v>
      </c>
      <c r="AC223" s="16">
        <f t="shared" si="115"/>
        <v>12492.5</v>
      </c>
    </row>
    <row r="224" spans="1:29" x14ac:dyDescent="0.2">
      <c r="A224" s="10" t="s">
        <v>611</v>
      </c>
      <c r="B224" s="11">
        <f t="shared" si="119"/>
        <v>219</v>
      </c>
      <c r="C224" s="11" t="s">
        <v>377</v>
      </c>
      <c r="D224" s="19" t="s">
        <v>50</v>
      </c>
      <c r="E224" s="19" t="s">
        <v>484</v>
      </c>
      <c r="F224" s="20">
        <v>42856</v>
      </c>
      <c r="G224" s="11">
        <v>33</v>
      </c>
      <c r="H224" s="13">
        <f t="shared" si="111"/>
        <v>5322.5806451612898</v>
      </c>
      <c r="I224" s="13">
        <f t="shared" si="116"/>
        <v>0</v>
      </c>
      <c r="J224" s="13">
        <f t="shared" si="117"/>
        <v>266.12903225806451</v>
      </c>
      <c r="L224" s="13">
        <f t="shared" si="120"/>
        <v>851.61290322580635</v>
      </c>
      <c r="N224" s="13">
        <f t="shared" ref="N224:N227" si="125">((1950+1441-178+1017+0)/G$3)*G224</f>
        <v>4502.9032258064508</v>
      </c>
      <c r="P224" s="13">
        <f t="shared" si="123"/>
        <v>10943.225806451612</v>
      </c>
      <c r="Q224" s="12">
        <f t="shared" si="112"/>
        <v>638.70967741935476</v>
      </c>
      <c r="R224" s="12">
        <f t="shared" si="84"/>
        <v>192</v>
      </c>
      <c r="S224" s="21">
        <v>0</v>
      </c>
      <c r="T224" s="13">
        <v>0</v>
      </c>
      <c r="U224" s="13">
        <f t="shared" si="121"/>
        <v>830.70967741935476</v>
      </c>
      <c r="V224" s="13">
        <f t="shared" si="113"/>
        <v>10112.516129032258</v>
      </c>
      <c r="X224" s="13">
        <f t="shared" si="79"/>
        <v>10112.516129032258</v>
      </c>
      <c r="Y224" s="12">
        <f t="shared" si="118"/>
        <v>699.91935483870964</v>
      </c>
      <c r="Z224" s="12">
        <f t="shared" si="114"/>
        <v>520</v>
      </c>
      <c r="AA224" s="1">
        <f t="shared" si="81"/>
        <v>0</v>
      </c>
      <c r="AB224" s="16">
        <f t="shared" si="122"/>
        <v>1219.9193548387098</v>
      </c>
      <c r="AC224" s="16">
        <f t="shared" si="115"/>
        <v>12163.145161290322</v>
      </c>
    </row>
    <row r="225" spans="1:29" x14ac:dyDescent="0.2">
      <c r="A225" s="10" t="s">
        <v>613</v>
      </c>
      <c r="B225" s="11">
        <f t="shared" si="119"/>
        <v>220</v>
      </c>
      <c r="C225" s="11" t="s">
        <v>379</v>
      </c>
      <c r="D225" s="19" t="s">
        <v>50</v>
      </c>
      <c r="E225" s="19" t="s">
        <v>242</v>
      </c>
      <c r="F225" s="20">
        <v>42856</v>
      </c>
      <c r="G225" s="11">
        <v>37</v>
      </c>
      <c r="H225" s="13">
        <f t="shared" si="111"/>
        <v>5967.7419354838703</v>
      </c>
      <c r="I225" s="13">
        <f t="shared" si="116"/>
        <v>0</v>
      </c>
      <c r="J225" s="13">
        <f t="shared" si="117"/>
        <v>298.38709677419354</v>
      </c>
      <c r="L225" s="13">
        <f t="shared" si="120"/>
        <v>954.83870967741927</v>
      </c>
      <c r="N225" s="13">
        <f t="shared" si="125"/>
        <v>5048.7096774193542</v>
      </c>
      <c r="P225" s="13">
        <f t="shared" si="123"/>
        <v>12269.677419354837</v>
      </c>
      <c r="Q225" s="12">
        <f t="shared" si="112"/>
        <v>716.1290322580644</v>
      </c>
      <c r="R225" s="12">
        <f t="shared" si="84"/>
        <v>215</v>
      </c>
      <c r="S225" s="21">
        <v>0</v>
      </c>
      <c r="T225" s="13">
        <v>0</v>
      </c>
      <c r="U225" s="13">
        <f t="shared" si="121"/>
        <v>931.1290322580644</v>
      </c>
      <c r="V225" s="13">
        <f t="shared" si="113"/>
        <v>11338.548387096773</v>
      </c>
      <c r="X225" s="13">
        <f t="shared" si="79"/>
        <v>11338.548387096773</v>
      </c>
      <c r="Y225" s="12">
        <f t="shared" si="118"/>
        <v>784.75806451612902</v>
      </c>
      <c r="Z225" s="12">
        <f t="shared" si="114"/>
        <v>583</v>
      </c>
      <c r="AA225" s="1">
        <f t="shared" si="81"/>
        <v>0</v>
      </c>
      <c r="AB225" s="16">
        <f t="shared" si="122"/>
        <v>1367.758064516129</v>
      </c>
      <c r="AC225" s="16">
        <f t="shared" si="115"/>
        <v>13637.435483870966</v>
      </c>
    </row>
    <row r="226" spans="1:29" x14ac:dyDescent="0.2">
      <c r="A226" s="10" t="s">
        <v>615</v>
      </c>
      <c r="B226" s="11">
        <f t="shared" si="119"/>
        <v>221</v>
      </c>
      <c r="C226" s="11" t="s">
        <v>381</v>
      </c>
      <c r="D226" s="19" t="s">
        <v>50</v>
      </c>
      <c r="E226" s="19" t="s">
        <v>709</v>
      </c>
      <c r="F226" s="20">
        <v>42856</v>
      </c>
      <c r="G226" s="11">
        <v>8</v>
      </c>
      <c r="H226" s="13">
        <f t="shared" si="111"/>
        <v>1290.3225806451612</v>
      </c>
      <c r="I226" s="13">
        <f t="shared" si="116"/>
        <v>0</v>
      </c>
      <c r="J226" s="13">
        <f t="shared" si="117"/>
        <v>64.516129032258064</v>
      </c>
      <c r="L226" s="13">
        <f t="shared" si="120"/>
        <v>206.45161290322579</v>
      </c>
      <c r="N226" s="13">
        <f t="shared" si="125"/>
        <v>1091.6129032258063</v>
      </c>
      <c r="P226" s="13">
        <f t="shared" si="123"/>
        <v>2652.9032258064517</v>
      </c>
      <c r="Q226" s="12">
        <f t="shared" si="112"/>
        <v>154.83870967741933</v>
      </c>
      <c r="R226" s="12">
        <f t="shared" si="84"/>
        <v>47</v>
      </c>
      <c r="S226" s="21">
        <v>0</v>
      </c>
      <c r="T226" s="13">
        <v>0</v>
      </c>
      <c r="U226" s="13">
        <f t="shared" si="121"/>
        <v>201.83870967741933</v>
      </c>
      <c r="V226" s="13">
        <f t="shared" si="113"/>
        <v>2451.0645161290322</v>
      </c>
      <c r="X226" s="13">
        <f t="shared" si="79"/>
        <v>2451.0645161290322</v>
      </c>
      <c r="Y226" s="12">
        <f t="shared" si="118"/>
        <v>169.67741935483872</v>
      </c>
      <c r="Z226" s="12">
        <f t="shared" si="114"/>
        <v>127</v>
      </c>
      <c r="AA226" s="1">
        <f t="shared" si="81"/>
        <v>0</v>
      </c>
      <c r="AB226" s="16">
        <f t="shared" si="122"/>
        <v>296.67741935483872</v>
      </c>
      <c r="AC226" s="16">
        <f t="shared" si="115"/>
        <v>2949.5806451612902</v>
      </c>
    </row>
    <row r="227" spans="1:29" x14ac:dyDescent="0.2">
      <c r="A227" s="10" t="s">
        <v>616</v>
      </c>
      <c r="B227" s="11">
        <f t="shared" si="119"/>
        <v>222</v>
      </c>
      <c r="C227" s="11" t="s">
        <v>382</v>
      </c>
      <c r="D227" s="19" t="s">
        <v>50</v>
      </c>
      <c r="E227" s="19" t="s">
        <v>484</v>
      </c>
      <c r="F227" s="20">
        <v>42882</v>
      </c>
      <c r="G227" s="11">
        <v>37</v>
      </c>
      <c r="H227" s="13">
        <f t="shared" si="111"/>
        <v>5967.7419354838703</v>
      </c>
      <c r="I227" s="13">
        <f t="shared" si="116"/>
        <v>0</v>
      </c>
      <c r="J227" s="13">
        <f t="shared" si="117"/>
        <v>298.38709677419354</v>
      </c>
      <c r="L227" s="13">
        <f t="shared" si="120"/>
        <v>954.83870967741927</v>
      </c>
      <c r="N227" s="13">
        <f t="shared" si="125"/>
        <v>5048.7096774193542</v>
      </c>
      <c r="P227" s="13">
        <f t="shared" si="123"/>
        <v>12269.677419354837</v>
      </c>
      <c r="Q227" s="12">
        <f t="shared" si="112"/>
        <v>716.1290322580644</v>
      </c>
      <c r="R227" s="12">
        <f t="shared" si="84"/>
        <v>215</v>
      </c>
      <c r="S227" s="21">
        <v>0</v>
      </c>
      <c r="T227" s="13">
        <v>0</v>
      </c>
      <c r="U227" s="13">
        <f t="shared" si="121"/>
        <v>931.1290322580644</v>
      </c>
      <c r="V227" s="13">
        <f t="shared" si="113"/>
        <v>11338.548387096773</v>
      </c>
      <c r="X227" s="13">
        <f t="shared" si="79"/>
        <v>11338.548387096773</v>
      </c>
      <c r="Y227" s="12">
        <f t="shared" si="118"/>
        <v>784.75806451612902</v>
      </c>
      <c r="Z227" s="12">
        <f t="shared" si="114"/>
        <v>583</v>
      </c>
      <c r="AA227" s="1">
        <f t="shared" si="81"/>
        <v>0</v>
      </c>
      <c r="AB227" s="16">
        <f t="shared" si="122"/>
        <v>1367.758064516129</v>
      </c>
      <c r="AC227" s="16">
        <f t="shared" si="115"/>
        <v>13637.435483870966</v>
      </c>
    </row>
    <row r="228" spans="1:29" x14ac:dyDescent="0.2">
      <c r="A228" s="10" t="s">
        <v>620</v>
      </c>
      <c r="B228" s="11">
        <f t="shared" si="119"/>
        <v>223</v>
      </c>
      <c r="C228" s="11" t="s">
        <v>354</v>
      </c>
      <c r="D228" s="19" t="s">
        <v>50</v>
      </c>
      <c r="E228" s="19" t="s">
        <v>237</v>
      </c>
      <c r="F228" s="20">
        <v>42277</v>
      </c>
      <c r="G228" s="11">
        <v>29</v>
      </c>
      <c r="H228" s="13">
        <f t="shared" si="111"/>
        <v>4677.4193548387093</v>
      </c>
      <c r="I228" s="13">
        <f t="shared" si="116"/>
        <v>0</v>
      </c>
      <c r="J228" s="13">
        <f t="shared" si="117"/>
        <v>233.87096774193549</v>
      </c>
      <c r="L228" s="13">
        <f t="shared" si="120"/>
        <v>748.38709677419354</v>
      </c>
      <c r="N228" s="13">
        <f>((1950+1441+4137+0)/G$3)*G228</f>
        <v>7042.322580645161</v>
      </c>
      <c r="P228" s="13">
        <f t="shared" si="123"/>
        <v>12702</v>
      </c>
      <c r="Q228" s="12">
        <f t="shared" si="112"/>
        <v>561.29032258064512</v>
      </c>
      <c r="R228" s="12">
        <f t="shared" si="84"/>
        <v>223</v>
      </c>
      <c r="S228" s="21">
        <v>0</v>
      </c>
      <c r="T228" s="13">
        <v>0</v>
      </c>
      <c r="U228" s="13">
        <f t="shared" si="121"/>
        <v>784.29032258064512</v>
      </c>
      <c r="V228" s="13">
        <f t="shared" si="113"/>
        <v>11917.709677419354</v>
      </c>
      <c r="X228" s="13">
        <f t="shared" si="79"/>
        <v>11917.709677419354</v>
      </c>
      <c r="Y228" s="12">
        <f t="shared" si="118"/>
        <v>615.08064516129025</v>
      </c>
      <c r="Z228" s="12">
        <f t="shared" si="114"/>
        <v>604</v>
      </c>
      <c r="AA228" s="1">
        <f t="shared" si="81"/>
        <v>0</v>
      </c>
      <c r="AB228" s="16">
        <f t="shared" si="122"/>
        <v>1219.0806451612902</v>
      </c>
      <c r="AC228" s="16">
        <f t="shared" si="115"/>
        <v>13921.08064516129</v>
      </c>
    </row>
    <row r="229" spans="1:29" x14ac:dyDescent="0.2">
      <c r="A229" s="10" t="s">
        <v>623</v>
      </c>
      <c r="B229" s="11">
        <f t="shared" si="119"/>
        <v>224</v>
      </c>
      <c r="C229" s="11" t="s">
        <v>387</v>
      </c>
      <c r="D229" s="19" t="s">
        <v>50</v>
      </c>
      <c r="E229" s="19" t="s">
        <v>707</v>
      </c>
      <c r="F229" s="20">
        <v>42856</v>
      </c>
      <c r="G229" s="11">
        <v>31</v>
      </c>
      <c r="H229" s="13">
        <f t="shared" si="111"/>
        <v>5000</v>
      </c>
      <c r="I229" s="13">
        <f t="shared" si="116"/>
        <v>0</v>
      </c>
      <c r="J229" s="13">
        <f t="shared" si="117"/>
        <v>250</v>
      </c>
      <c r="L229" s="13">
        <f t="shared" si="120"/>
        <v>800</v>
      </c>
      <c r="N229" s="13">
        <f>((1950+1441-178+1017+0)/G$3)*G229</f>
        <v>4230</v>
      </c>
      <c r="P229" s="13">
        <f t="shared" si="123"/>
        <v>10280</v>
      </c>
      <c r="Q229" s="12">
        <f t="shared" si="112"/>
        <v>600</v>
      </c>
      <c r="R229" s="12">
        <f t="shared" si="84"/>
        <v>180</v>
      </c>
      <c r="S229" s="21">
        <v>0</v>
      </c>
      <c r="T229" s="13">
        <v>0</v>
      </c>
      <c r="U229" s="13">
        <f t="shared" si="121"/>
        <v>780</v>
      </c>
      <c r="V229" s="13">
        <f t="shared" si="113"/>
        <v>9500</v>
      </c>
      <c r="X229" s="13">
        <f t="shared" si="79"/>
        <v>9500</v>
      </c>
      <c r="Y229" s="12">
        <f t="shared" si="118"/>
        <v>657.5</v>
      </c>
      <c r="Z229" s="12">
        <f t="shared" si="114"/>
        <v>489</v>
      </c>
      <c r="AA229" s="1">
        <f t="shared" si="81"/>
        <v>0</v>
      </c>
      <c r="AB229" s="16">
        <f t="shared" si="122"/>
        <v>1146.5</v>
      </c>
      <c r="AC229" s="16">
        <f t="shared" si="115"/>
        <v>11426.5</v>
      </c>
    </row>
    <row r="230" spans="1:29" x14ac:dyDescent="0.2">
      <c r="A230" s="10" t="s">
        <v>627</v>
      </c>
      <c r="B230" s="11">
        <f t="shared" si="119"/>
        <v>225</v>
      </c>
      <c r="C230" s="11" t="s">
        <v>391</v>
      </c>
      <c r="D230" s="19" t="s">
        <v>50</v>
      </c>
      <c r="E230" s="19" t="s">
        <v>232</v>
      </c>
      <c r="F230" s="20">
        <v>42875</v>
      </c>
      <c r="G230" s="11">
        <v>32</v>
      </c>
      <c r="H230" s="13">
        <f t="shared" si="111"/>
        <v>5161.2903225806449</v>
      </c>
      <c r="I230" s="13">
        <f t="shared" si="116"/>
        <v>0</v>
      </c>
      <c r="J230" s="13">
        <f t="shared" si="117"/>
        <v>258.06451612903226</v>
      </c>
      <c r="L230" s="13">
        <f t="shared" si="120"/>
        <v>825.80645161290317</v>
      </c>
      <c r="N230" s="13">
        <f>((1950+1441-178+1017+0)/G$3)*G230</f>
        <v>4366.4516129032254</v>
      </c>
      <c r="P230" s="13">
        <f t="shared" si="123"/>
        <v>10611.612903225807</v>
      </c>
      <c r="Q230" s="12">
        <f t="shared" si="112"/>
        <v>619.35483870967732</v>
      </c>
      <c r="R230" s="12">
        <f t="shared" si="84"/>
        <v>186</v>
      </c>
      <c r="S230" s="21">
        <v>0</v>
      </c>
      <c r="T230" s="13">
        <v>0</v>
      </c>
      <c r="U230" s="13">
        <f t="shared" si="121"/>
        <v>805.35483870967732</v>
      </c>
      <c r="V230" s="13">
        <f t="shared" si="113"/>
        <v>9806.2580645161288</v>
      </c>
      <c r="X230" s="13">
        <f t="shared" si="79"/>
        <v>9806.2580645161288</v>
      </c>
      <c r="Y230" s="12">
        <f t="shared" si="118"/>
        <v>678.70967741935488</v>
      </c>
      <c r="Z230" s="12">
        <f t="shared" si="114"/>
        <v>505</v>
      </c>
      <c r="AA230" s="1">
        <f t="shared" si="81"/>
        <v>0</v>
      </c>
      <c r="AB230" s="16">
        <f t="shared" si="122"/>
        <v>1183.7096774193549</v>
      </c>
      <c r="AC230" s="16">
        <f t="shared" si="115"/>
        <v>11795.322580645161</v>
      </c>
    </row>
    <row r="231" spans="1:29" x14ac:dyDescent="0.2">
      <c r="A231" s="10" t="s">
        <v>628</v>
      </c>
      <c r="B231" s="11">
        <f t="shared" si="119"/>
        <v>226</v>
      </c>
      <c r="C231" s="11" t="s">
        <v>393</v>
      </c>
      <c r="D231" s="19" t="s">
        <v>50</v>
      </c>
      <c r="E231" s="19" t="s">
        <v>232</v>
      </c>
      <c r="F231" s="20">
        <v>42856</v>
      </c>
      <c r="G231" s="11">
        <v>28</v>
      </c>
      <c r="H231" s="13">
        <f t="shared" si="111"/>
        <v>4516.1290322580644</v>
      </c>
      <c r="I231" s="13">
        <f t="shared" si="116"/>
        <v>0</v>
      </c>
      <c r="J231" s="13">
        <f t="shared" si="117"/>
        <v>225.80645161290323</v>
      </c>
      <c r="L231" s="13">
        <f t="shared" si="120"/>
        <v>722.58064516129025</v>
      </c>
      <c r="N231" s="13">
        <f>((1950+1441-178+1017+0)/G$3)*G231</f>
        <v>3820.645161290322</v>
      </c>
      <c r="P231" s="13">
        <f t="shared" si="123"/>
        <v>9285.1612903225796</v>
      </c>
      <c r="Q231" s="12">
        <f t="shared" si="112"/>
        <v>541.93548387096769</v>
      </c>
      <c r="R231" s="12">
        <f t="shared" si="84"/>
        <v>163</v>
      </c>
      <c r="S231" s="21">
        <v>0</v>
      </c>
      <c r="T231" s="13">
        <v>0</v>
      </c>
      <c r="U231" s="13">
        <f t="shared" si="121"/>
        <v>704.93548387096769</v>
      </c>
      <c r="V231" s="13">
        <f t="shared" si="113"/>
        <v>8580.2258064516118</v>
      </c>
      <c r="X231" s="13">
        <f t="shared" si="79"/>
        <v>8580.2258064516118</v>
      </c>
      <c r="Y231" s="12">
        <f t="shared" si="118"/>
        <v>593.87096774193549</v>
      </c>
      <c r="Z231" s="12">
        <f t="shared" si="114"/>
        <v>442</v>
      </c>
      <c r="AA231" s="1">
        <f t="shared" si="81"/>
        <v>0</v>
      </c>
      <c r="AB231" s="16">
        <f t="shared" si="122"/>
        <v>1035.8709677419356</v>
      </c>
      <c r="AC231" s="16">
        <f t="shared" si="115"/>
        <v>10321.032258064515</v>
      </c>
    </row>
    <row r="232" spans="1:29" x14ac:dyDescent="0.2">
      <c r="A232" s="10" t="s">
        <v>629</v>
      </c>
      <c r="B232" s="11">
        <f t="shared" si="119"/>
        <v>227</v>
      </c>
      <c r="C232" s="11" t="s">
        <v>394</v>
      </c>
      <c r="D232" s="19" t="s">
        <v>50</v>
      </c>
      <c r="E232" s="19" t="s">
        <v>484</v>
      </c>
      <c r="F232" s="20">
        <v>42875</v>
      </c>
      <c r="G232" s="11">
        <v>35</v>
      </c>
      <c r="H232" s="13">
        <f t="shared" si="111"/>
        <v>5645.1612903225805</v>
      </c>
      <c r="I232" s="13">
        <f t="shared" si="116"/>
        <v>0</v>
      </c>
      <c r="J232" s="13">
        <f t="shared" si="117"/>
        <v>282.25806451612902</v>
      </c>
      <c r="L232" s="13">
        <f t="shared" si="120"/>
        <v>903.22580645161281</v>
      </c>
      <c r="N232" s="13">
        <f>((1950+1441-178+1017+0)/G$3)*G232</f>
        <v>4775.8064516129025</v>
      </c>
      <c r="P232" s="13">
        <f t="shared" si="123"/>
        <v>11606.451612903224</v>
      </c>
      <c r="Q232" s="12">
        <f t="shared" si="112"/>
        <v>677.41935483870964</v>
      </c>
      <c r="R232" s="12">
        <f t="shared" si="84"/>
        <v>204</v>
      </c>
      <c r="S232" s="21">
        <v>0</v>
      </c>
      <c r="T232" s="13">
        <v>0</v>
      </c>
      <c r="U232" s="13">
        <f t="shared" si="121"/>
        <v>881.41935483870964</v>
      </c>
      <c r="V232" s="13">
        <f t="shared" si="113"/>
        <v>10725.032258064513</v>
      </c>
      <c r="X232" s="13">
        <f t="shared" si="79"/>
        <v>10725.032258064513</v>
      </c>
      <c r="Y232" s="12">
        <f t="shared" si="118"/>
        <v>742.33870967741939</v>
      </c>
      <c r="Z232" s="12">
        <f t="shared" si="114"/>
        <v>552</v>
      </c>
      <c r="AA232" s="1">
        <f t="shared" si="81"/>
        <v>0</v>
      </c>
      <c r="AB232" s="16">
        <f t="shared" si="122"/>
        <v>1294.3387096774195</v>
      </c>
      <c r="AC232" s="16">
        <f t="shared" si="115"/>
        <v>12900.790322580644</v>
      </c>
    </row>
    <row r="233" spans="1:29" x14ac:dyDescent="0.2">
      <c r="A233" s="10" t="s">
        <v>630</v>
      </c>
      <c r="B233" s="11">
        <f t="shared" si="119"/>
        <v>228</v>
      </c>
      <c r="C233" s="11" t="s">
        <v>395</v>
      </c>
      <c r="D233" s="19" t="s">
        <v>50</v>
      </c>
      <c r="E233" s="19" t="s">
        <v>234</v>
      </c>
      <c r="F233" s="20">
        <v>42856</v>
      </c>
      <c r="G233" s="11">
        <v>29</v>
      </c>
      <c r="H233" s="13">
        <f t="shared" si="111"/>
        <v>4677.4193548387093</v>
      </c>
      <c r="I233" s="13">
        <f t="shared" si="116"/>
        <v>0</v>
      </c>
      <c r="J233" s="13">
        <f t="shared" si="117"/>
        <v>233.87096774193549</v>
      </c>
      <c r="L233" s="13">
        <f t="shared" si="120"/>
        <v>748.38709677419354</v>
      </c>
      <c r="N233" s="13">
        <f>((1950+1441-178+1017+1018+0)/G$3)*G233</f>
        <v>4909.4193548387093</v>
      </c>
      <c r="P233" s="13">
        <f t="shared" si="123"/>
        <v>10569.096774193547</v>
      </c>
      <c r="Q233" s="12">
        <f t="shared" si="112"/>
        <v>561.29032258064512</v>
      </c>
      <c r="R233" s="12">
        <f t="shared" si="84"/>
        <v>185</v>
      </c>
      <c r="S233" s="21">
        <v>0</v>
      </c>
      <c r="T233" s="13">
        <v>0</v>
      </c>
      <c r="U233" s="13">
        <f t="shared" si="121"/>
        <v>746.29032258064512</v>
      </c>
      <c r="V233" s="13">
        <f t="shared" si="113"/>
        <v>9822.8064516129016</v>
      </c>
      <c r="X233" s="13">
        <f t="shared" si="79"/>
        <v>9822.8064516129016</v>
      </c>
      <c r="Y233" s="12">
        <f t="shared" si="118"/>
        <v>615.08064516129025</v>
      </c>
      <c r="Z233" s="12">
        <f t="shared" si="114"/>
        <v>503</v>
      </c>
      <c r="AA233" s="1">
        <f t="shared" si="81"/>
        <v>0</v>
      </c>
      <c r="AB233" s="16">
        <f t="shared" si="122"/>
        <v>1118.0806451612902</v>
      </c>
      <c r="AC233" s="16">
        <f t="shared" si="115"/>
        <v>11687.177419354837</v>
      </c>
    </row>
    <row r="234" spans="1:29" x14ac:dyDescent="0.2">
      <c r="A234" s="10" t="s">
        <v>631</v>
      </c>
      <c r="B234" s="11">
        <f t="shared" si="119"/>
        <v>229</v>
      </c>
      <c r="C234" s="11" t="s">
        <v>705</v>
      </c>
      <c r="D234" s="19" t="s">
        <v>50</v>
      </c>
      <c r="E234" s="19" t="s">
        <v>484</v>
      </c>
      <c r="F234" s="20">
        <v>42856</v>
      </c>
      <c r="G234" s="11">
        <v>37</v>
      </c>
      <c r="H234" s="13">
        <f t="shared" si="111"/>
        <v>5967.7419354838703</v>
      </c>
      <c r="I234" s="13">
        <f t="shared" si="116"/>
        <v>0</v>
      </c>
      <c r="J234" s="13">
        <f t="shared" si="117"/>
        <v>298.38709677419354</v>
      </c>
      <c r="L234" s="13">
        <f t="shared" si="120"/>
        <v>954.83870967741927</v>
      </c>
      <c r="N234" s="13">
        <f>((1950+1441-178+1017+0)/G$3)*G234</f>
        <v>5048.7096774193542</v>
      </c>
      <c r="P234" s="13">
        <f t="shared" si="123"/>
        <v>12269.677419354837</v>
      </c>
      <c r="Q234" s="12">
        <f t="shared" si="112"/>
        <v>716.1290322580644</v>
      </c>
      <c r="R234" s="12">
        <f t="shared" si="84"/>
        <v>215</v>
      </c>
      <c r="S234" s="21">
        <v>0</v>
      </c>
      <c r="T234" s="13">
        <v>0</v>
      </c>
      <c r="U234" s="13">
        <f t="shared" si="121"/>
        <v>931.1290322580644</v>
      </c>
      <c r="V234" s="13">
        <f t="shared" si="113"/>
        <v>11338.548387096773</v>
      </c>
      <c r="X234" s="13">
        <f t="shared" si="79"/>
        <v>11338.548387096773</v>
      </c>
      <c r="Y234" s="12">
        <f t="shared" si="118"/>
        <v>784.75806451612902</v>
      </c>
      <c r="Z234" s="12">
        <f t="shared" si="114"/>
        <v>583</v>
      </c>
      <c r="AA234" s="1">
        <f t="shared" si="81"/>
        <v>0</v>
      </c>
      <c r="AB234" s="16">
        <f t="shared" si="122"/>
        <v>1367.758064516129</v>
      </c>
      <c r="AC234" s="16">
        <f t="shared" si="115"/>
        <v>13637.435483870966</v>
      </c>
    </row>
    <row r="235" spans="1:29" x14ac:dyDescent="0.2">
      <c r="A235" s="10" t="s">
        <v>632</v>
      </c>
      <c r="B235" s="11">
        <f t="shared" si="119"/>
        <v>230</v>
      </c>
      <c r="C235" s="11" t="s">
        <v>397</v>
      </c>
      <c r="D235" s="19" t="s">
        <v>50</v>
      </c>
      <c r="E235" s="19" t="s">
        <v>234</v>
      </c>
      <c r="F235" s="20">
        <v>42856</v>
      </c>
      <c r="G235" s="11">
        <v>35</v>
      </c>
      <c r="H235" s="13">
        <f t="shared" si="111"/>
        <v>5645.1612903225805</v>
      </c>
      <c r="I235" s="13">
        <f t="shared" si="116"/>
        <v>0</v>
      </c>
      <c r="J235" s="13">
        <f t="shared" si="117"/>
        <v>282.25806451612902</v>
      </c>
      <c r="L235" s="13">
        <f t="shared" si="120"/>
        <v>903.22580645161281</v>
      </c>
      <c r="N235" s="13">
        <f>((1950+1441-178+1017+1018+0)/G$3)*G235</f>
        <v>5925.1612903225805</v>
      </c>
      <c r="P235" s="13">
        <f t="shared" si="123"/>
        <v>12755.806451612902</v>
      </c>
      <c r="Q235" s="12">
        <f t="shared" si="112"/>
        <v>677.41935483870964</v>
      </c>
      <c r="R235" s="12">
        <f t="shared" si="84"/>
        <v>224</v>
      </c>
      <c r="S235" s="21">
        <v>0</v>
      </c>
      <c r="T235" s="13">
        <v>0</v>
      </c>
      <c r="U235" s="13">
        <f t="shared" si="121"/>
        <v>901.41935483870964</v>
      </c>
      <c r="V235" s="13">
        <f t="shared" si="113"/>
        <v>11854.387096774191</v>
      </c>
      <c r="X235" s="13">
        <f t="shared" si="79"/>
        <v>11854.387096774191</v>
      </c>
      <c r="Y235" s="12">
        <f t="shared" si="118"/>
        <v>742.33870967741939</v>
      </c>
      <c r="Z235" s="12">
        <f t="shared" si="114"/>
        <v>606</v>
      </c>
      <c r="AA235" s="1">
        <f t="shared" si="81"/>
        <v>0</v>
      </c>
      <c r="AB235" s="16">
        <f t="shared" si="122"/>
        <v>1348.3387096774195</v>
      </c>
      <c r="AC235" s="16">
        <f t="shared" si="115"/>
        <v>14104.145161290322</v>
      </c>
    </row>
    <row r="236" spans="1:29" x14ac:dyDescent="0.2">
      <c r="A236" s="10" t="s">
        <v>633</v>
      </c>
      <c r="B236" s="11">
        <f t="shared" si="119"/>
        <v>231</v>
      </c>
      <c r="C236" s="11" t="s">
        <v>398</v>
      </c>
      <c r="D236" s="19" t="s">
        <v>50</v>
      </c>
      <c r="E236" s="19" t="s">
        <v>484</v>
      </c>
      <c r="F236" s="20">
        <v>42856</v>
      </c>
      <c r="G236" s="11">
        <v>7</v>
      </c>
      <c r="H236" s="13">
        <f t="shared" si="111"/>
        <v>1129.0322580645161</v>
      </c>
      <c r="I236" s="13">
        <f t="shared" si="116"/>
        <v>0</v>
      </c>
      <c r="J236" s="13">
        <f t="shared" si="117"/>
        <v>56.451612903225808</v>
      </c>
      <c r="L236" s="13">
        <f t="shared" si="120"/>
        <v>180.64516129032256</v>
      </c>
      <c r="N236" s="13">
        <f>((1950+1441-178+1017+0)/G$3)*G236</f>
        <v>955.1612903225805</v>
      </c>
      <c r="P236" s="13">
        <f t="shared" si="123"/>
        <v>2321.2903225806449</v>
      </c>
      <c r="Q236" s="12">
        <f t="shared" si="112"/>
        <v>135.48387096774192</v>
      </c>
      <c r="R236" s="12">
        <f t="shared" si="84"/>
        <v>41</v>
      </c>
      <c r="S236" s="21">
        <v>0</v>
      </c>
      <c r="T236" s="13">
        <v>0</v>
      </c>
      <c r="U236" s="13">
        <f t="shared" si="121"/>
        <v>176.48387096774192</v>
      </c>
      <c r="V236" s="13">
        <f t="shared" si="113"/>
        <v>2144.8064516129029</v>
      </c>
      <c r="X236" s="13">
        <f t="shared" si="79"/>
        <v>2144.8064516129029</v>
      </c>
      <c r="Y236" s="12">
        <f t="shared" si="118"/>
        <v>148.46774193548387</v>
      </c>
      <c r="Z236" s="12">
        <f t="shared" si="114"/>
        <v>111</v>
      </c>
      <c r="AA236" s="1">
        <f t="shared" si="81"/>
        <v>0</v>
      </c>
      <c r="AB236" s="16">
        <f t="shared" si="122"/>
        <v>259.4677419354839</v>
      </c>
      <c r="AC236" s="16">
        <f t="shared" si="115"/>
        <v>2580.7580645161288</v>
      </c>
    </row>
    <row r="237" spans="1:29" x14ac:dyDescent="0.2">
      <c r="A237" s="10" t="s">
        <v>634</v>
      </c>
      <c r="B237" s="11">
        <f t="shared" si="119"/>
        <v>232</v>
      </c>
      <c r="C237" s="11" t="s">
        <v>399</v>
      </c>
      <c r="D237" s="19" t="s">
        <v>50</v>
      </c>
      <c r="E237" s="19" t="s">
        <v>707</v>
      </c>
      <c r="F237" s="20">
        <v>42856</v>
      </c>
      <c r="G237" s="11">
        <v>37</v>
      </c>
      <c r="H237" s="13">
        <f t="shared" si="111"/>
        <v>5967.7419354838703</v>
      </c>
      <c r="I237" s="13">
        <f t="shared" si="116"/>
        <v>0</v>
      </c>
      <c r="J237" s="13">
        <f t="shared" si="117"/>
        <v>298.38709677419354</v>
      </c>
      <c r="L237" s="13">
        <f t="shared" si="120"/>
        <v>954.83870967741927</v>
      </c>
      <c r="N237" s="13">
        <f>((1950+1441-178+1017+0)/G$3)*G237</f>
        <v>5048.7096774193542</v>
      </c>
      <c r="P237" s="13">
        <f t="shared" si="123"/>
        <v>12269.677419354837</v>
      </c>
      <c r="Q237" s="12">
        <f t="shared" si="112"/>
        <v>716.1290322580644</v>
      </c>
      <c r="R237" s="12">
        <f t="shared" si="84"/>
        <v>215</v>
      </c>
      <c r="S237" s="21">
        <v>0</v>
      </c>
      <c r="T237" s="13">
        <v>0</v>
      </c>
      <c r="U237" s="13">
        <f t="shared" si="121"/>
        <v>931.1290322580644</v>
      </c>
      <c r="V237" s="13">
        <f t="shared" si="113"/>
        <v>11338.548387096773</v>
      </c>
      <c r="X237" s="13">
        <f t="shared" si="79"/>
        <v>11338.548387096773</v>
      </c>
      <c r="Y237" s="12">
        <f t="shared" si="118"/>
        <v>784.75806451612902</v>
      </c>
      <c r="Z237" s="12">
        <f t="shared" si="114"/>
        <v>583</v>
      </c>
      <c r="AA237" s="1">
        <f t="shared" si="81"/>
        <v>0</v>
      </c>
      <c r="AB237" s="16">
        <f t="shared" si="122"/>
        <v>1367.758064516129</v>
      </c>
      <c r="AC237" s="16">
        <f t="shared" si="115"/>
        <v>13637.435483870966</v>
      </c>
    </row>
    <row r="238" spans="1:29" x14ac:dyDescent="0.2">
      <c r="A238" s="10" t="s">
        <v>637</v>
      </c>
      <c r="B238" s="11">
        <f t="shared" si="119"/>
        <v>233</v>
      </c>
      <c r="C238" s="11" t="s">
        <v>402</v>
      </c>
      <c r="D238" s="19" t="s">
        <v>50</v>
      </c>
      <c r="E238" s="19" t="s">
        <v>234</v>
      </c>
      <c r="F238" s="20">
        <v>42856</v>
      </c>
      <c r="G238" s="11">
        <v>34</v>
      </c>
      <c r="H238" s="13">
        <f t="shared" si="111"/>
        <v>5483.8709677419356</v>
      </c>
      <c r="I238" s="13">
        <f t="shared" si="116"/>
        <v>0</v>
      </c>
      <c r="J238" s="13">
        <f t="shared" si="117"/>
        <v>274.19354838709677</v>
      </c>
      <c r="L238" s="13">
        <f t="shared" si="120"/>
        <v>877.41935483870964</v>
      </c>
      <c r="N238" s="13">
        <f>((1950+1441-178+1017+1018+0)/G$3)*G238</f>
        <v>5755.8709677419356</v>
      </c>
      <c r="P238" s="13">
        <f t="shared" si="123"/>
        <v>12391.354838709678</v>
      </c>
      <c r="Q238" s="12">
        <f t="shared" si="112"/>
        <v>658.0645161290322</v>
      </c>
      <c r="R238" s="12">
        <f t="shared" si="84"/>
        <v>217</v>
      </c>
      <c r="S238" s="21">
        <v>0</v>
      </c>
      <c r="T238" s="13">
        <v>0</v>
      </c>
      <c r="U238" s="13">
        <f t="shared" si="121"/>
        <v>875.0645161290322</v>
      </c>
      <c r="V238" s="13">
        <f t="shared" si="113"/>
        <v>11516.290322580646</v>
      </c>
      <c r="X238" s="13">
        <f t="shared" si="79"/>
        <v>11516.290322580646</v>
      </c>
      <c r="Y238" s="12">
        <f t="shared" si="118"/>
        <v>721.12903225806451</v>
      </c>
      <c r="Z238" s="12">
        <f t="shared" si="114"/>
        <v>589</v>
      </c>
      <c r="AA238" s="1">
        <f t="shared" si="81"/>
        <v>0</v>
      </c>
      <c r="AB238" s="16">
        <f t="shared" si="122"/>
        <v>1310.1290322580644</v>
      </c>
      <c r="AC238" s="16">
        <f t="shared" si="115"/>
        <v>13701.483870967742</v>
      </c>
    </row>
    <row r="239" spans="1:29" x14ac:dyDescent="0.2">
      <c r="A239" s="10" t="s">
        <v>638</v>
      </c>
      <c r="B239" s="11">
        <f t="shared" si="119"/>
        <v>234</v>
      </c>
      <c r="C239" s="11" t="s">
        <v>403</v>
      </c>
      <c r="D239" s="19" t="s">
        <v>50</v>
      </c>
      <c r="E239" s="19" t="s">
        <v>484</v>
      </c>
      <c r="F239" s="20">
        <v>42856</v>
      </c>
      <c r="G239" s="11">
        <v>34</v>
      </c>
      <c r="H239" s="13">
        <f t="shared" si="111"/>
        <v>5483.8709677419356</v>
      </c>
      <c r="I239" s="13">
        <f t="shared" si="116"/>
        <v>0</v>
      </c>
      <c r="J239" s="13">
        <f t="shared" si="117"/>
        <v>274.19354838709677</v>
      </c>
      <c r="L239" s="13">
        <f t="shared" si="120"/>
        <v>877.41935483870964</v>
      </c>
      <c r="N239" s="13">
        <f>((1950+1441-178+1017+0)/G$3)*G239</f>
        <v>4639.3548387096771</v>
      </c>
      <c r="P239" s="13">
        <f t="shared" si="123"/>
        <v>11274.838709677419</v>
      </c>
      <c r="Q239" s="12">
        <f t="shared" si="112"/>
        <v>658.0645161290322</v>
      </c>
      <c r="R239" s="12">
        <f t="shared" si="84"/>
        <v>198</v>
      </c>
      <c r="S239" s="21">
        <v>0</v>
      </c>
      <c r="T239" s="13">
        <v>0</v>
      </c>
      <c r="U239" s="13">
        <f t="shared" si="121"/>
        <v>856.0645161290322</v>
      </c>
      <c r="V239" s="13">
        <f t="shared" si="113"/>
        <v>10418.774193548386</v>
      </c>
      <c r="X239" s="13">
        <f t="shared" si="79"/>
        <v>10418.774193548386</v>
      </c>
      <c r="Y239" s="12">
        <f t="shared" si="118"/>
        <v>721.12903225806451</v>
      </c>
      <c r="Z239" s="12">
        <f t="shared" si="114"/>
        <v>536</v>
      </c>
      <c r="AA239" s="1">
        <f t="shared" si="81"/>
        <v>0</v>
      </c>
      <c r="AB239" s="16">
        <f t="shared" si="122"/>
        <v>1257.1290322580644</v>
      </c>
      <c r="AC239" s="16">
        <f t="shared" si="115"/>
        <v>12531.967741935483</v>
      </c>
    </row>
    <row r="240" spans="1:29" x14ac:dyDescent="0.2">
      <c r="A240" s="10" t="s">
        <v>641</v>
      </c>
      <c r="B240" s="11">
        <f t="shared" si="119"/>
        <v>235</v>
      </c>
      <c r="C240" s="11" t="s">
        <v>406</v>
      </c>
      <c r="D240" s="19" t="s">
        <v>50</v>
      </c>
      <c r="E240" s="11" t="s">
        <v>234</v>
      </c>
      <c r="F240" s="20">
        <v>42856</v>
      </c>
      <c r="G240" s="11">
        <v>36</v>
      </c>
      <c r="H240" s="13">
        <f t="shared" si="111"/>
        <v>5806.4516129032254</v>
      </c>
      <c r="I240" s="13">
        <f t="shared" si="116"/>
        <v>0</v>
      </c>
      <c r="J240" s="13">
        <f t="shared" si="117"/>
        <v>290.32258064516128</v>
      </c>
      <c r="L240" s="13">
        <f t="shared" si="120"/>
        <v>929.0322580645161</v>
      </c>
      <c r="N240" s="13">
        <f>((1950+1441-178+1017+1018+0)/G$3)*G240</f>
        <v>6094.4516129032254</v>
      </c>
      <c r="P240" s="13">
        <f t="shared" si="123"/>
        <v>13120.258064516129</v>
      </c>
      <c r="Q240" s="12">
        <f t="shared" si="112"/>
        <v>696.77419354838707</v>
      </c>
      <c r="R240" s="12">
        <f t="shared" si="84"/>
        <v>230</v>
      </c>
      <c r="S240" s="21">
        <v>0</v>
      </c>
      <c r="T240" s="13">
        <v>0</v>
      </c>
      <c r="U240" s="13">
        <f t="shared" si="121"/>
        <v>926.77419354838707</v>
      </c>
      <c r="V240" s="13">
        <f t="shared" si="113"/>
        <v>12193.483870967742</v>
      </c>
      <c r="X240" s="13">
        <f t="shared" si="79"/>
        <v>12193.483870967742</v>
      </c>
      <c r="Y240" s="12">
        <f t="shared" si="118"/>
        <v>763.54838709677415</v>
      </c>
      <c r="Z240" s="12">
        <f t="shared" si="114"/>
        <v>624</v>
      </c>
      <c r="AA240" s="1">
        <f t="shared" si="81"/>
        <v>0</v>
      </c>
      <c r="AB240" s="16">
        <f t="shared" si="122"/>
        <v>1387.5483870967741</v>
      </c>
      <c r="AC240" s="16">
        <f t="shared" si="115"/>
        <v>14507.806451612903</v>
      </c>
    </row>
    <row r="241" spans="1:29" x14ac:dyDescent="0.2">
      <c r="A241" s="10" t="s">
        <v>642</v>
      </c>
      <c r="B241" s="11">
        <f t="shared" si="119"/>
        <v>236</v>
      </c>
      <c r="C241" s="11" t="s">
        <v>407</v>
      </c>
      <c r="D241" s="19" t="s">
        <v>50</v>
      </c>
      <c r="E241" s="19" t="s">
        <v>484</v>
      </c>
      <c r="F241" s="20">
        <v>42856</v>
      </c>
      <c r="G241" s="11">
        <v>37</v>
      </c>
      <c r="H241" s="13">
        <f t="shared" si="111"/>
        <v>5967.7419354838703</v>
      </c>
      <c r="I241" s="13">
        <f t="shared" si="116"/>
        <v>0</v>
      </c>
      <c r="J241" s="13">
        <f t="shared" si="117"/>
        <v>298.38709677419354</v>
      </c>
      <c r="L241" s="13">
        <f t="shared" si="120"/>
        <v>954.83870967741927</v>
      </c>
      <c r="N241" s="13">
        <f>((1950+1441+839+0)/G$3)*G241</f>
        <v>5048.7096774193542</v>
      </c>
      <c r="P241" s="13">
        <f t="shared" si="123"/>
        <v>12269.677419354837</v>
      </c>
      <c r="Q241" s="12">
        <f t="shared" si="112"/>
        <v>716.1290322580644</v>
      </c>
      <c r="R241" s="12">
        <f t="shared" si="84"/>
        <v>215</v>
      </c>
      <c r="S241" s="21">
        <v>0</v>
      </c>
      <c r="T241" s="13">
        <v>0</v>
      </c>
      <c r="U241" s="13">
        <f t="shared" si="121"/>
        <v>931.1290322580644</v>
      </c>
      <c r="V241" s="13">
        <f t="shared" si="113"/>
        <v>11338.548387096773</v>
      </c>
      <c r="X241" s="13">
        <f t="shared" si="79"/>
        <v>11338.548387096773</v>
      </c>
      <c r="Y241" s="12">
        <f t="shared" si="118"/>
        <v>784.75806451612902</v>
      </c>
      <c r="Z241" s="12">
        <f t="shared" si="114"/>
        <v>583</v>
      </c>
      <c r="AA241" s="1">
        <f t="shared" si="81"/>
        <v>0</v>
      </c>
      <c r="AB241" s="16">
        <f t="shared" si="122"/>
        <v>1367.758064516129</v>
      </c>
      <c r="AC241" s="16">
        <f t="shared" si="115"/>
        <v>13637.435483870966</v>
      </c>
    </row>
    <row r="242" spans="1:29" x14ac:dyDescent="0.2">
      <c r="A242" s="10" t="s">
        <v>643</v>
      </c>
      <c r="B242" s="11">
        <f t="shared" si="119"/>
        <v>237</v>
      </c>
      <c r="C242" s="11" t="s">
        <v>408</v>
      </c>
      <c r="D242" s="19" t="s">
        <v>50</v>
      </c>
      <c r="E242" s="11" t="s">
        <v>234</v>
      </c>
      <c r="F242" s="20">
        <v>42856</v>
      </c>
      <c r="G242" s="11">
        <v>30</v>
      </c>
      <c r="H242" s="13">
        <f t="shared" si="111"/>
        <v>4838.7096774193542</v>
      </c>
      <c r="I242" s="13">
        <f t="shared" si="116"/>
        <v>0</v>
      </c>
      <c r="J242" s="13">
        <f t="shared" si="117"/>
        <v>241.93548387096772</v>
      </c>
      <c r="L242" s="13">
        <f t="shared" si="120"/>
        <v>774.19354838709671</v>
      </c>
      <c r="N242" s="13">
        <f>((7793)/G$3)*G242</f>
        <v>7541.6129032258059</v>
      </c>
      <c r="P242" s="13">
        <f t="shared" si="123"/>
        <v>13396.451612903224</v>
      </c>
      <c r="Q242" s="12">
        <f t="shared" si="112"/>
        <v>580.64516129032245</v>
      </c>
      <c r="R242" s="12">
        <f t="shared" si="84"/>
        <v>235</v>
      </c>
      <c r="S242" s="21">
        <v>0</v>
      </c>
      <c r="T242" s="13">
        <v>0</v>
      </c>
      <c r="U242" s="13">
        <f t="shared" si="121"/>
        <v>815.64516129032245</v>
      </c>
      <c r="V242" s="13">
        <f t="shared" si="113"/>
        <v>12580.806451612902</v>
      </c>
      <c r="X242" s="13">
        <f t="shared" si="79"/>
        <v>12580.806451612902</v>
      </c>
      <c r="Y242" s="12">
        <f t="shared" si="118"/>
        <v>636.29032258064512</v>
      </c>
      <c r="Z242" s="12">
        <f t="shared" si="114"/>
        <v>637</v>
      </c>
      <c r="AA242" s="1">
        <f t="shared" si="81"/>
        <v>0</v>
      </c>
      <c r="AB242" s="16">
        <f t="shared" si="122"/>
        <v>1273.2903225806451</v>
      </c>
      <c r="AC242" s="16">
        <f t="shared" si="115"/>
        <v>14669.741935483869</v>
      </c>
    </row>
    <row r="243" spans="1:29" x14ac:dyDescent="0.2">
      <c r="A243" s="10" t="s">
        <v>644</v>
      </c>
      <c r="B243" s="11">
        <f t="shared" si="119"/>
        <v>238</v>
      </c>
      <c r="C243" s="11" t="s">
        <v>409</v>
      </c>
      <c r="D243" s="19" t="s">
        <v>50</v>
      </c>
      <c r="E243" s="11" t="s">
        <v>234</v>
      </c>
      <c r="F243" s="20">
        <v>42856</v>
      </c>
      <c r="G243" s="11">
        <v>36</v>
      </c>
      <c r="H243" s="13">
        <f t="shared" si="111"/>
        <v>5806.4516129032254</v>
      </c>
      <c r="I243" s="13">
        <f t="shared" si="116"/>
        <v>0</v>
      </c>
      <c r="J243" s="13">
        <f t="shared" si="117"/>
        <v>290.32258064516128</v>
      </c>
      <c r="L243" s="13">
        <f t="shared" si="120"/>
        <v>929.0322580645161</v>
      </c>
      <c r="N243" s="13">
        <f>((1950+1441-178+1017+1018+0)/G$3)*G243</f>
        <v>6094.4516129032254</v>
      </c>
      <c r="P243" s="13">
        <f t="shared" si="123"/>
        <v>13120.258064516129</v>
      </c>
      <c r="Q243" s="12">
        <f t="shared" si="112"/>
        <v>696.77419354838707</v>
      </c>
      <c r="R243" s="12">
        <f t="shared" si="84"/>
        <v>230</v>
      </c>
      <c r="S243" s="21">
        <v>0</v>
      </c>
      <c r="T243" s="13">
        <v>0</v>
      </c>
      <c r="U243" s="13">
        <f t="shared" si="121"/>
        <v>926.77419354838707</v>
      </c>
      <c r="V243" s="13">
        <f t="shared" si="113"/>
        <v>12193.483870967742</v>
      </c>
      <c r="X243" s="13">
        <f t="shared" si="79"/>
        <v>12193.483870967742</v>
      </c>
      <c r="Y243" s="12">
        <f t="shared" si="118"/>
        <v>763.54838709677415</v>
      </c>
      <c r="Z243" s="12">
        <f t="shared" si="114"/>
        <v>624</v>
      </c>
      <c r="AA243" s="1">
        <f t="shared" si="81"/>
        <v>0</v>
      </c>
      <c r="AB243" s="16">
        <f t="shared" si="122"/>
        <v>1387.5483870967741</v>
      </c>
      <c r="AC243" s="16">
        <f t="shared" si="115"/>
        <v>14507.806451612903</v>
      </c>
    </row>
    <row r="244" spans="1:29" x14ac:dyDescent="0.2">
      <c r="A244" s="10" t="s">
        <v>800</v>
      </c>
      <c r="B244" s="11">
        <f t="shared" si="119"/>
        <v>239</v>
      </c>
      <c r="C244" s="11" t="s">
        <v>493</v>
      </c>
      <c r="D244" s="19" t="s">
        <v>50</v>
      </c>
      <c r="E244" s="11" t="s">
        <v>581</v>
      </c>
      <c r="F244" s="20">
        <v>42886</v>
      </c>
      <c r="G244" s="11">
        <v>37</v>
      </c>
      <c r="H244" s="13">
        <f t="shared" si="111"/>
        <v>5967.7419354838703</v>
      </c>
      <c r="I244" s="13">
        <f t="shared" si="116"/>
        <v>0</v>
      </c>
      <c r="J244" s="13">
        <f t="shared" si="117"/>
        <v>298.38709677419354</v>
      </c>
      <c r="L244" s="13">
        <f t="shared" si="120"/>
        <v>954.83870967741927</v>
      </c>
      <c r="N244" s="13">
        <f>((1950+1441-178+1017+1018+509+0)/G$3)*G244</f>
        <v>6871.2580645161297</v>
      </c>
      <c r="P244" s="13">
        <f t="shared" si="123"/>
        <v>14092.225806451614</v>
      </c>
      <c r="Q244" s="12">
        <f t="shared" si="112"/>
        <v>716.1290322580644</v>
      </c>
      <c r="R244" s="12">
        <f t="shared" si="84"/>
        <v>247</v>
      </c>
      <c r="S244" s="21">
        <v>0</v>
      </c>
      <c r="T244" s="13">
        <v>0</v>
      </c>
      <c r="U244" s="13">
        <f t="shared" si="121"/>
        <v>963.1290322580644</v>
      </c>
      <c r="V244" s="13">
        <f t="shared" si="113"/>
        <v>13129.096774193549</v>
      </c>
      <c r="X244" s="13">
        <f t="shared" si="79"/>
        <v>13129.096774193549</v>
      </c>
      <c r="Y244" s="12">
        <f t="shared" si="118"/>
        <v>784.75806451612902</v>
      </c>
      <c r="Z244" s="12">
        <f t="shared" si="114"/>
        <v>670</v>
      </c>
      <c r="AA244" s="1">
        <f t="shared" si="81"/>
        <v>0</v>
      </c>
      <c r="AB244" s="16">
        <f t="shared" si="122"/>
        <v>1454.758064516129</v>
      </c>
      <c r="AC244" s="16">
        <f t="shared" si="115"/>
        <v>15546.983870967742</v>
      </c>
    </row>
    <row r="245" spans="1:29" x14ac:dyDescent="0.2">
      <c r="A245" s="10" t="s">
        <v>801</v>
      </c>
      <c r="B245" s="11">
        <f t="shared" si="119"/>
        <v>240</v>
      </c>
      <c r="C245" s="11" t="s">
        <v>495</v>
      </c>
      <c r="D245" s="19" t="s">
        <v>50</v>
      </c>
      <c r="E245" s="11" t="s">
        <v>581</v>
      </c>
      <c r="F245" s="20">
        <v>42900</v>
      </c>
      <c r="G245" s="11">
        <v>36</v>
      </c>
      <c r="H245" s="13">
        <f t="shared" si="111"/>
        <v>5806.4516129032254</v>
      </c>
      <c r="I245" s="13">
        <f t="shared" si="116"/>
        <v>0</v>
      </c>
      <c r="J245" s="13">
        <f t="shared" si="117"/>
        <v>290.32258064516128</v>
      </c>
      <c r="L245" s="13">
        <f t="shared" si="120"/>
        <v>929.0322580645161</v>
      </c>
      <c r="N245" s="13">
        <f>((1950+1441-178+1017+0)/G$3)*G245</f>
        <v>4912.2580645161288</v>
      </c>
      <c r="P245" s="13">
        <f t="shared" si="123"/>
        <v>11938.06451612903</v>
      </c>
      <c r="Q245" s="12">
        <f t="shared" si="112"/>
        <v>696.77419354838707</v>
      </c>
      <c r="R245" s="12">
        <f t="shared" si="84"/>
        <v>209</v>
      </c>
      <c r="S245" s="21">
        <v>0</v>
      </c>
      <c r="T245" s="13">
        <v>0</v>
      </c>
      <c r="U245" s="13">
        <f t="shared" si="121"/>
        <v>905.77419354838707</v>
      </c>
      <c r="V245" s="13">
        <f t="shared" si="113"/>
        <v>11032.290322580644</v>
      </c>
      <c r="X245" s="13">
        <f t="shared" si="79"/>
        <v>11032.290322580644</v>
      </c>
      <c r="Y245" s="12">
        <f t="shared" si="118"/>
        <v>763.54838709677415</v>
      </c>
      <c r="Z245" s="12">
        <f t="shared" si="114"/>
        <v>568</v>
      </c>
      <c r="AA245" s="1">
        <f t="shared" si="81"/>
        <v>0</v>
      </c>
      <c r="AB245" s="16">
        <f t="shared" si="122"/>
        <v>1331.5483870967741</v>
      </c>
      <c r="AC245" s="16">
        <f t="shared" si="115"/>
        <v>13269.612903225805</v>
      </c>
    </row>
    <row r="246" spans="1:29" x14ac:dyDescent="0.2">
      <c r="A246" s="10" t="s">
        <v>582</v>
      </c>
      <c r="B246" s="11">
        <f t="shared" si="119"/>
        <v>241</v>
      </c>
      <c r="C246" s="11" t="s">
        <v>63</v>
      </c>
      <c r="D246" s="19" t="s">
        <v>50</v>
      </c>
      <c r="E246" s="11" t="s">
        <v>581</v>
      </c>
      <c r="F246" s="20">
        <v>42826</v>
      </c>
      <c r="G246" s="11">
        <v>34</v>
      </c>
      <c r="H246" s="13">
        <f t="shared" si="111"/>
        <v>5483.8709677419356</v>
      </c>
      <c r="I246" s="13">
        <f t="shared" si="116"/>
        <v>0</v>
      </c>
      <c r="J246" s="13">
        <f t="shared" si="117"/>
        <v>274.19354838709677</v>
      </c>
      <c r="L246" s="13">
        <f t="shared" si="120"/>
        <v>877.41935483870964</v>
      </c>
      <c r="N246" s="13">
        <f>((1950+1441-178+1017+0)/G$3)*G246</f>
        <v>4639.3548387096771</v>
      </c>
      <c r="P246" s="13">
        <f t="shared" si="123"/>
        <v>11274.838709677419</v>
      </c>
      <c r="Q246" s="12">
        <f t="shared" si="112"/>
        <v>658.0645161290322</v>
      </c>
      <c r="R246" s="12">
        <f t="shared" si="84"/>
        <v>198</v>
      </c>
      <c r="S246" s="21">
        <v>0</v>
      </c>
      <c r="T246" s="13">
        <v>0</v>
      </c>
      <c r="U246" s="13">
        <f t="shared" si="121"/>
        <v>856.0645161290322</v>
      </c>
      <c r="V246" s="13">
        <f t="shared" si="113"/>
        <v>10418.774193548386</v>
      </c>
      <c r="X246" s="13">
        <f t="shared" si="79"/>
        <v>10418.774193548386</v>
      </c>
      <c r="Y246" s="12">
        <f t="shared" si="118"/>
        <v>721.12903225806451</v>
      </c>
      <c r="Z246" s="12">
        <f t="shared" si="114"/>
        <v>536</v>
      </c>
      <c r="AA246" s="1">
        <f t="shared" si="81"/>
        <v>0</v>
      </c>
      <c r="AB246" s="16">
        <f t="shared" si="122"/>
        <v>1257.1290322580644</v>
      </c>
      <c r="AC246" s="16">
        <f t="shared" si="115"/>
        <v>12531.967741935483</v>
      </c>
    </row>
    <row r="247" spans="1:29" x14ac:dyDescent="0.2">
      <c r="A247" s="10" t="s">
        <v>802</v>
      </c>
      <c r="B247" s="11">
        <f t="shared" si="119"/>
        <v>242</v>
      </c>
      <c r="C247" s="11" t="s">
        <v>499</v>
      </c>
      <c r="D247" s="19" t="s">
        <v>50</v>
      </c>
      <c r="E247" s="11" t="s">
        <v>234</v>
      </c>
      <c r="F247" s="20">
        <v>42911</v>
      </c>
      <c r="G247" s="11">
        <v>34</v>
      </c>
      <c r="H247" s="13">
        <f t="shared" si="111"/>
        <v>5483.8709677419356</v>
      </c>
      <c r="I247" s="13">
        <f t="shared" si="116"/>
        <v>0</v>
      </c>
      <c r="J247" s="13">
        <f t="shared" si="117"/>
        <v>274.19354838709677</v>
      </c>
      <c r="L247" s="13">
        <f t="shared" si="120"/>
        <v>877.41935483870964</v>
      </c>
      <c r="N247" s="13">
        <f t="shared" ref="N247:N264" si="126">((1950+1441-178+1017+1018+0)/G$3)*G247</f>
        <v>5755.8709677419356</v>
      </c>
      <c r="P247" s="13">
        <f t="shared" ref="P247:P264" si="127">SUM(H247:O247)</f>
        <v>12391.354838709678</v>
      </c>
      <c r="Q247" s="12">
        <f t="shared" si="112"/>
        <v>658.0645161290322</v>
      </c>
      <c r="R247" s="12">
        <f t="shared" si="84"/>
        <v>217</v>
      </c>
      <c r="S247" s="21">
        <v>0</v>
      </c>
      <c r="T247" s="13">
        <v>0</v>
      </c>
      <c r="U247" s="13">
        <f t="shared" si="121"/>
        <v>875.0645161290322</v>
      </c>
      <c r="V247" s="13">
        <f t="shared" si="113"/>
        <v>11516.290322580646</v>
      </c>
      <c r="X247" s="13">
        <f t="shared" si="79"/>
        <v>11516.290322580646</v>
      </c>
      <c r="Y247" s="12">
        <f t="shared" si="118"/>
        <v>721.12903225806451</v>
      </c>
      <c r="Z247" s="12">
        <f t="shared" si="114"/>
        <v>589</v>
      </c>
      <c r="AA247" s="1">
        <f t="shared" si="81"/>
        <v>0</v>
      </c>
      <c r="AB247" s="16">
        <f t="shared" si="122"/>
        <v>1310.1290322580644</v>
      </c>
      <c r="AC247" s="16">
        <f t="shared" si="115"/>
        <v>13701.483870967742</v>
      </c>
    </row>
    <row r="248" spans="1:29" x14ac:dyDescent="0.2">
      <c r="A248" s="10" t="s">
        <v>803</v>
      </c>
      <c r="B248" s="11">
        <f t="shared" si="119"/>
        <v>243</v>
      </c>
      <c r="C248" s="11" t="s">
        <v>503</v>
      </c>
      <c r="D248" s="19" t="s">
        <v>50</v>
      </c>
      <c r="E248" s="11" t="s">
        <v>234</v>
      </c>
      <c r="F248" s="20">
        <v>42900</v>
      </c>
      <c r="G248" s="11">
        <v>37</v>
      </c>
      <c r="H248" s="13">
        <f t="shared" si="111"/>
        <v>5967.7419354838703</v>
      </c>
      <c r="I248" s="13">
        <f t="shared" si="116"/>
        <v>0</v>
      </c>
      <c r="J248" s="13">
        <f t="shared" si="117"/>
        <v>298.38709677419354</v>
      </c>
      <c r="L248" s="13">
        <f t="shared" si="120"/>
        <v>954.83870967741927</v>
      </c>
      <c r="N248" s="13">
        <f t="shared" si="126"/>
        <v>6263.7419354838703</v>
      </c>
      <c r="P248" s="13">
        <f t="shared" si="127"/>
        <v>13484.709677419352</v>
      </c>
      <c r="Q248" s="12">
        <f t="shared" si="112"/>
        <v>716.1290322580644</v>
      </c>
      <c r="R248" s="12">
        <f t="shared" ref="R248:R311" si="128">ROUNDUP((P248*1.75%),0)</f>
        <v>236</v>
      </c>
      <c r="S248" s="21">
        <v>0</v>
      </c>
      <c r="T248" s="13">
        <v>0</v>
      </c>
      <c r="U248" s="13">
        <f t="shared" si="121"/>
        <v>952.1290322580644</v>
      </c>
      <c r="V248" s="13">
        <f t="shared" si="113"/>
        <v>12532.580645161288</v>
      </c>
      <c r="X248" s="13">
        <f t="shared" si="79"/>
        <v>12532.580645161288</v>
      </c>
      <c r="Y248" s="12">
        <f t="shared" si="118"/>
        <v>784.75806451612902</v>
      </c>
      <c r="Z248" s="12">
        <f t="shared" si="114"/>
        <v>641</v>
      </c>
      <c r="AA248" s="1">
        <f t="shared" si="81"/>
        <v>0</v>
      </c>
      <c r="AB248" s="16">
        <f t="shared" si="122"/>
        <v>1425.758064516129</v>
      </c>
      <c r="AC248" s="16">
        <f t="shared" si="115"/>
        <v>14910.467741935481</v>
      </c>
    </row>
    <row r="249" spans="1:29" x14ac:dyDescent="0.2">
      <c r="A249" s="10" t="s">
        <v>583</v>
      </c>
      <c r="B249" s="11">
        <f t="shared" si="119"/>
        <v>244</v>
      </c>
      <c r="C249" s="11" t="s">
        <v>711</v>
      </c>
      <c r="D249" s="19" t="s">
        <v>50</v>
      </c>
      <c r="E249" s="11" t="s">
        <v>234</v>
      </c>
      <c r="F249" s="20">
        <v>42781</v>
      </c>
      <c r="G249" s="11">
        <v>18</v>
      </c>
      <c r="H249" s="13">
        <f t="shared" si="111"/>
        <v>2903.2258064516127</v>
      </c>
      <c r="I249" s="13">
        <f t="shared" si="116"/>
        <v>0</v>
      </c>
      <c r="J249" s="13">
        <f t="shared" si="117"/>
        <v>145.16129032258064</v>
      </c>
      <c r="L249" s="13">
        <f t="shared" si="120"/>
        <v>464.51612903225805</v>
      </c>
      <c r="N249" s="13">
        <f t="shared" si="126"/>
        <v>3047.2258064516127</v>
      </c>
      <c r="P249" s="13">
        <f t="shared" si="127"/>
        <v>6560.1290322580644</v>
      </c>
      <c r="Q249" s="12">
        <f t="shared" si="112"/>
        <v>348.38709677419354</v>
      </c>
      <c r="R249" s="12">
        <f t="shared" si="128"/>
        <v>115</v>
      </c>
      <c r="S249" s="21">
        <v>0</v>
      </c>
      <c r="T249" s="13">
        <v>0</v>
      </c>
      <c r="U249" s="13">
        <f t="shared" si="121"/>
        <v>463.38709677419354</v>
      </c>
      <c r="V249" s="13">
        <f t="shared" si="113"/>
        <v>6096.7419354838712</v>
      </c>
      <c r="X249" s="13">
        <f t="shared" si="79"/>
        <v>6096.7419354838712</v>
      </c>
      <c r="Y249" s="12">
        <f t="shared" si="118"/>
        <v>381.77419354838707</v>
      </c>
      <c r="Z249" s="12">
        <f t="shared" si="114"/>
        <v>312</v>
      </c>
      <c r="AA249" s="1">
        <f t="shared" si="81"/>
        <v>0</v>
      </c>
      <c r="AB249" s="16">
        <f t="shared" si="122"/>
        <v>693.77419354838707</v>
      </c>
      <c r="AC249" s="16">
        <f t="shared" si="115"/>
        <v>7253.9032258064517</v>
      </c>
    </row>
    <row r="250" spans="1:29" x14ac:dyDescent="0.2">
      <c r="A250" s="10" t="s">
        <v>804</v>
      </c>
      <c r="B250" s="11">
        <f t="shared" si="119"/>
        <v>245</v>
      </c>
      <c r="C250" s="11" t="s">
        <v>505</v>
      </c>
      <c r="D250" s="19" t="s">
        <v>50</v>
      </c>
      <c r="E250" s="11" t="s">
        <v>234</v>
      </c>
      <c r="F250" s="20">
        <v>42887</v>
      </c>
      <c r="G250" s="11">
        <v>35</v>
      </c>
      <c r="H250" s="13">
        <f t="shared" si="111"/>
        <v>5645.1612903225805</v>
      </c>
      <c r="I250" s="13">
        <f t="shared" si="116"/>
        <v>0</v>
      </c>
      <c r="J250" s="13">
        <f t="shared" si="117"/>
        <v>282.25806451612902</v>
      </c>
      <c r="L250" s="13">
        <f t="shared" si="120"/>
        <v>903.22580645161281</v>
      </c>
      <c r="N250" s="13">
        <f t="shared" si="126"/>
        <v>5925.1612903225805</v>
      </c>
      <c r="P250" s="13">
        <f t="shared" si="127"/>
        <v>12755.806451612902</v>
      </c>
      <c r="Q250" s="12">
        <f t="shared" si="112"/>
        <v>677.41935483870964</v>
      </c>
      <c r="R250" s="12">
        <f t="shared" si="128"/>
        <v>224</v>
      </c>
      <c r="S250" s="21">
        <v>0</v>
      </c>
      <c r="T250" s="13">
        <v>0</v>
      </c>
      <c r="U250" s="13">
        <f t="shared" si="121"/>
        <v>901.41935483870964</v>
      </c>
      <c r="V250" s="13">
        <f t="shared" si="113"/>
        <v>11854.387096774191</v>
      </c>
      <c r="X250" s="13">
        <f t="shared" si="79"/>
        <v>11854.387096774191</v>
      </c>
      <c r="Y250" s="12">
        <f t="shared" si="118"/>
        <v>742.33870967741939</v>
      </c>
      <c r="Z250" s="12">
        <f t="shared" si="114"/>
        <v>606</v>
      </c>
      <c r="AA250" s="1">
        <f t="shared" si="81"/>
        <v>0</v>
      </c>
      <c r="AB250" s="16">
        <f t="shared" si="122"/>
        <v>1348.3387096774195</v>
      </c>
      <c r="AC250" s="16">
        <f t="shared" si="115"/>
        <v>14104.145161290322</v>
      </c>
    </row>
    <row r="251" spans="1:29" x14ac:dyDescent="0.2">
      <c r="A251" s="10" t="s">
        <v>805</v>
      </c>
      <c r="B251" s="11">
        <f t="shared" si="119"/>
        <v>246</v>
      </c>
      <c r="C251" s="11" t="s">
        <v>392</v>
      </c>
      <c r="D251" s="19" t="s">
        <v>50</v>
      </c>
      <c r="E251" s="11" t="s">
        <v>707</v>
      </c>
      <c r="F251" s="20">
        <v>42912</v>
      </c>
      <c r="G251" s="11">
        <v>37</v>
      </c>
      <c r="H251" s="13">
        <f t="shared" si="111"/>
        <v>5967.7419354838703</v>
      </c>
      <c r="I251" s="13">
        <f t="shared" si="116"/>
        <v>0</v>
      </c>
      <c r="J251" s="13">
        <f t="shared" si="117"/>
        <v>298.38709677419354</v>
      </c>
      <c r="L251" s="13">
        <f t="shared" si="120"/>
        <v>954.83870967741927</v>
      </c>
      <c r="N251" s="13">
        <f t="shared" si="126"/>
        <v>6263.7419354838703</v>
      </c>
      <c r="P251" s="13">
        <f t="shared" si="127"/>
        <v>13484.709677419352</v>
      </c>
      <c r="Q251" s="12">
        <f t="shared" si="112"/>
        <v>716.1290322580644</v>
      </c>
      <c r="R251" s="12">
        <f t="shared" si="128"/>
        <v>236</v>
      </c>
      <c r="S251" s="21">
        <v>0</v>
      </c>
      <c r="T251" s="13">
        <v>0</v>
      </c>
      <c r="U251" s="13">
        <f t="shared" si="121"/>
        <v>952.1290322580644</v>
      </c>
      <c r="V251" s="13">
        <f t="shared" si="113"/>
        <v>12532.580645161288</v>
      </c>
      <c r="X251" s="13">
        <f t="shared" si="79"/>
        <v>12532.580645161288</v>
      </c>
      <c r="Y251" s="12">
        <f t="shared" si="118"/>
        <v>784.75806451612902</v>
      </c>
      <c r="Z251" s="12">
        <f t="shared" si="114"/>
        <v>641</v>
      </c>
      <c r="AA251" s="1">
        <f t="shared" si="81"/>
        <v>0</v>
      </c>
      <c r="AB251" s="16">
        <f t="shared" si="122"/>
        <v>1425.758064516129</v>
      </c>
      <c r="AC251" s="16">
        <f t="shared" si="115"/>
        <v>14910.467741935481</v>
      </c>
    </row>
    <row r="252" spans="1:29" x14ac:dyDescent="0.2">
      <c r="A252" s="10" t="s">
        <v>584</v>
      </c>
      <c r="B252" s="11">
        <f t="shared" si="119"/>
        <v>247</v>
      </c>
      <c r="C252" s="11" t="s">
        <v>511</v>
      </c>
      <c r="D252" s="19" t="s">
        <v>50</v>
      </c>
      <c r="E252" s="11" t="s">
        <v>234</v>
      </c>
      <c r="F252" s="20">
        <v>42486</v>
      </c>
      <c r="G252" s="11">
        <v>32</v>
      </c>
      <c r="H252" s="13">
        <f t="shared" si="111"/>
        <v>5161.2903225806449</v>
      </c>
      <c r="I252" s="13">
        <f t="shared" si="116"/>
        <v>0</v>
      </c>
      <c r="J252" s="13">
        <f t="shared" si="117"/>
        <v>258.06451612903226</v>
      </c>
      <c r="L252" s="13">
        <f t="shared" si="120"/>
        <v>825.80645161290317</v>
      </c>
      <c r="N252" s="13">
        <f t="shared" si="126"/>
        <v>5417.2903225806449</v>
      </c>
      <c r="P252" s="13">
        <f t="shared" si="127"/>
        <v>11662.451612903225</v>
      </c>
      <c r="Q252" s="12">
        <f t="shared" si="112"/>
        <v>619.35483870967732</v>
      </c>
      <c r="R252" s="12">
        <f t="shared" si="128"/>
        <v>205</v>
      </c>
      <c r="S252" s="21">
        <v>0</v>
      </c>
      <c r="T252" s="13">
        <v>0</v>
      </c>
      <c r="U252" s="13">
        <f t="shared" si="121"/>
        <v>824.35483870967732</v>
      </c>
      <c r="V252" s="13">
        <f t="shared" si="113"/>
        <v>10838.096774193547</v>
      </c>
      <c r="X252" s="13">
        <f t="shared" si="79"/>
        <v>10838.096774193547</v>
      </c>
      <c r="Y252" s="12">
        <f t="shared" si="118"/>
        <v>678.70967741935488</v>
      </c>
      <c r="Z252" s="12">
        <f t="shared" si="114"/>
        <v>554</v>
      </c>
      <c r="AA252" s="1">
        <f t="shared" si="81"/>
        <v>0</v>
      </c>
      <c r="AB252" s="16">
        <f t="shared" si="122"/>
        <v>1232.7096774193549</v>
      </c>
      <c r="AC252" s="16">
        <f t="shared" si="115"/>
        <v>12895.16129032258</v>
      </c>
    </row>
    <row r="253" spans="1:29" x14ac:dyDescent="0.2">
      <c r="A253" s="10" t="s">
        <v>806</v>
      </c>
      <c r="B253" s="11">
        <f t="shared" si="119"/>
        <v>248</v>
      </c>
      <c r="C253" s="11" t="s">
        <v>512</v>
      </c>
      <c r="D253" s="19" t="s">
        <v>50</v>
      </c>
      <c r="E253" s="11" t="s">
        <v>234</v>
      </c>
      <c r="F253" s="20">
        <v>42887</v>
      </c>
      <c r="G253" s="11">
        <v>33</v>
      </c>
      <c r="H253" s="13">
        <f t="shared" si="111"/>
        <v>5322.5806451612898</v>
      </c>
      <c r="I253" s="13">
        <f t="shared" si="116"/>
        <v>0</v>
      </c>
      <c r="J253" s="13">
        <f t="shared" si="117"/>
        <v>266.12903225806451</v>
      </c>
      <c r="L253" s="13">
        <f t="shared" si="120"/>
        <v>851.61290322580635</v>
      </c>
      <c r="N253" s="13">
        <f t="shared" si="126"/>
        <v>5586.5806451612898</v>
      </c>
      <c r="P253" s="13">
        <f t="shared" si="127"/>
        <v>12026.903225806451</v>
      </c>
      <c r="Q253" s="12">
        <f t="shared" si="112"/>
        <v>638.70967741935476</v>
      </c>
      <c r="R253" s="12">
        <f t="shared" si="128"/>
        <v>211</v>
      </c>
      <c r="S253" s="21">
        <v>0</v>
      </c>
      <c r="T253" s="13">
        <v>0</v>
      </c>
      <c r="U253" s="13">
        <f t="shared" si="121"/>
        <v>849.70967741935476</v>
      </c>
      <c r="V253" s="13">
        <f t="shared" si="113"/>
        <v>11177.193548387097</v>
      </c>
      <c r="X253" s="13">
        <f t="shared" si="79"/>
        <v>11177.193548387097</v>
      </c>
      <c r="Y253" s="12">
        <f t="shared" si="118"/>
        <v>699.91935483870964</v>
      </c>
      <c r="Z253" s="12">
        <f t="shared" si="114"/>
        <v>572</v>
      </c>
      <c r="AA253" s="1">
        <f t="shared" si="81"/>
        <v>0</v>
      </c>
      <c r="AB253" s="16">
        <f t="shared" si="122"/>
        <v>1271.9193548387098</v>
      </c>
      <c r="AC253" s="16">
        <f t="shared" si="115"/>
        <v>13298.822580645161</v>
      </c>
    </row>
    <row r="254" spans="1:29" x14ac:dyDescent="0.2">
      <c r="A254" s="10" t="s">
        <v>807</v>
      </c>
      <c r="B254" s="11">
        <f t="shared" si="119"/>
        <v>249</v>
      </c>
      <c r="C254" s="11" t="s">
        <v>519</v>
      </c>
      <c r="D254" s="19" t="s">
        <v>50</v>
      </c>
      <c r="E254" s="11" t="s">
        <v>234</v>
      </c>
      <c r="F254" s="20">
        <v>42895</v>
      </c>
      <c r="G254" s="11">
        <v>32</v>
      </c>
      <c r="H254" s="13">
        <f t="shared" si="111"/>
        <v>5161.2903225806449</v>
      </c>
      <c r="I254" s="13">
        <f t="shared" si="116"/>
        <v>0</v>
      </c>
      <c r="J254" s="13">
        <f t="shared" si="117"/>
        <v>258.06451612903226</v>
      </c>
      <c r="L254" s="13">
        <f t="shared" si="120"/>
        <v>825.80645161290317</v>
      </c>
      <c r="N254" s="13">
        <f t="shared" si="126"/>
        <v>5417.2903225806449</v>
      </c>
      <c r="P254" s="13">
        <f t="shared" si="127"/>
        <v>11662.451612903225</v>
      </c>
      <c r="Q254" s="12">
        <f t="shared" si="112"/>
        <v>619.35483870967732</v>
      </c>
      <c r="R254" s="12">
        <f t="shared" si="128"/>
        <v>205</v>
      </c>
      <c r="S254" s="21">
        <v>0</v>
      </c>
      <c r="T254" s="13">
        <v>0</v>
      </c>
      <c r="U254" s="13">
        <f t="shared" si="121"/>
        <v>824.35483870967732</v>
      </c>
      <c r="V254" s="13">
        <f t="shared" si="113"/>
        <v>10838.096774193547</v>
      </c>
      <c r="X254" s="13">
        <f t="shared" si="79"/>
        <v>10838.096774193547</v>
      </c>
      <c r="Y254" s="12">
        <f t="shared" si="118"/>
        <v>678.70967741935488</v>
      </c>
      <c r="Z254" s="12">
        <f t="shared" si="114"/>
        <v>554</v>
      </c>
      <c r="AA254" s="1">
        <f t="shared" si="81"/>
        <v>0</v>
      </c>
      <c r="AB254" s="16">
        <f t="shared" si="122"/>
        <v>1232.7096774193549</v>
      </c>
      <c r="AC254" s="16">
        <f t="shared" si="115"/>
        <v>12895.16129032258</v>
      </c>
    </row>
    <row r="255" spans="1:29" x14ac:dyDescent="0.2">
      <c r="A255" s="10" t="s">
        <v>808</v>
      </c>
      <c r="B255" s="11">
        <f t="shared" si="119"/>
        <v>250</v>
      </c>
      <c r="C255" s="11" t="s">
        <v>492</v>
      </c>
      <c r="D255" s="19" t="s">
        <v>50</v>
      </c>
      <c r="E255" s="11" t="s">
        <v>234</v>
      </c>
      <c r="F255" s="20">
        <v>42899</v>
      </c>
      <c r="G255" s="11">
        <v>12</v>
      </c>
      <c r="H255" s="13">
        <f t="shared" si="111"/>
        <v>1935.483870967742</v>
      </c>
      <c r="I255" s="13">
        <f t="shared" si="116"/>
        <v>0</v>
      </c>
      <c r="J255" s="13">
        <f t="shared" si="117"/>
        <v>96.774193548387103</v>
      </c>
      <c r="L255" s="13">
        <f t="shared" si="120"/>
        <v>309.67741935483866</v>
      </c>
      <c r="N255" s="13">
        <f t="shared" si="126"/>
        <v>2031.483870967742</v>
      </c>
      <c r="P255" s="13">
        <f t="shared" si="127"/>
        <v>4373.4193548387102</v>
      </c>
      <c r="Q255" s="12">
        <f t="shared" si="112"/>
        <v>232.25806451612902</v>
      </c>
      <c r="R255" s="12">
        <f t="shared" si="128"/>
        <v>77</v>
      </c>
      <c r="S255" s="21">
        <v>0</v>
      </c>
      <c r="T255" s="13">
        <v>0</v>
      </c>
      <c r="U255" s="13">
        <f t="shared" si="121"/>
        <v>309.25806451612902</v>
      </c>
      <c r="V255" s="13">
        <f t="shared" si="113"/>
        <v>4064.1612903225814</v>
      </c>
      <c r="X255" s="13">
        <f t="shared" si="79"/>
        <v>4064.1612903225814</v>
      </c>
      <c r="Y255" s="12">
        <f t="shared" si="118"/>
        <v>254.51612903225808</v>
      </c>
      <c r="Z255" s="12">
        <f t="shared" si="114"/>
        <v>208</v>
      </c>
      <c r="AA255" s="1">
        <f t="shared" si="81"/>
        <v>0</v>
      </c>
      <c r="AB255" s="16">
        <f t="shared" si="122"/>
        <v>462.51612903225805</v>
      </c>
      <c r="AC255" s="16">
        <f t="shared" si="115"/>
        <v>4835.9354838709678</v>
      </c>
    </row>
    <row r="256" spans="1:29" x14ac:dyDescent="0.2">
      <c r="A256" s="10" t="s">
        <v>809</v>
      </c>
      <c r="B256" s="11">
        <f t="shared" si="119"/>
        <v>251</v>
      </c>
      <c r="C256" s="11" t="s">
        <v>712</v>
      </c>
      <c r="D256" s="19" t="s">
        <v>50</v>
      </c>
      <c r="E256" s="11" t="s">
        <v>234</v>
      </c>
      <c r="F256" s="20">
        <v>42887</v>
      </c>
      <c r="G256" s="11">
        <v>34</v>
      </c>
      <c r="H256" s="13">
        <f t="shared" si="111"/>
        <v>5483.8709677419356</v>
      </c>
      <c r="I256" s="13">
        <f t="shared" si="116"/>
        <v>0</v>
      </c>
      <c r="J256" s="13">
        <f t="shared" si="117"/>
        <v>274.19354838709677</v>
      </c>
      <c r="L256" s="13">
        <f t="shared" si="120"/>
        <v>877.41935483870964</v>
      </c>
      <c r="N256" s="13">
        <f t="shared" si="126"/>
        <v>5755.8709677419356</v>
      </c>
      <c r="P256" s="13">
        <f t="shared" si="127"/>
        <v>12391.354838709678</v>
      </c>
      <c r="Q256" s="12">
        <f t="shared" si="112"/>
        <v>658.0645161290322</v>
      </c>
      <c r="R256" s="12">
        <f t="shared" si="128"/>
        <v>217</v>
      </c>
      <c r="S256" s="21">
        <v>0</v>
      </c>
      <c r="T256" s="13">
        <v>0</v>
      </c>
      <c r="U256" s="13">
        <f t="shared" si="121"/>
        <v>875.0645161290322</v>
      </c>
      <c r="V256" s="13">
        <f t="shared" si="113"/>
        <v>11516.290322580646</v>
      </c>
      <c r="X256" s="13">
        <f t="shared" si="79"/>
        <v>11516.290322580646</v>
      </c>
      <c r="Y256" s="12">
        <f t="shared" si="118"/>
        <v>721.12903225806451</v>
      </c>
      <c r="Z256" s="12">
        <f t="shared" si="114"/>
        <v>589</v>
      </c>
      <c r="AA256" s="1">
        <f t="shared" si="81"/>
        <v>0</v>
      </c>
      <c r="AB256" s="16">
        <f t="shared" si="122"/>
        <v>1310.1290322580644</v>
      </c>
      <c r="AC256" s="16">
        <f t="shared" si="115"/>
        <v>13701.483870967742</v>
      </c>
    </row>
    <row r="257" spans="1:29" x14ac:dyDescent="0.2">
      <c r="A257" s="10" t="s">
        <v>810</v>
      </c>
      <c r="B257" s="11">
        <f t="shared" si="119"/>
        <v>252</v>
      </c>
      <c r="C257" s="11" t="s">
        <v>533</v>
      </c>
      <c r="D257" s="19" t="s">
        <v>50</v>
      </c>
      <c r="E257" s="11" t="s">
        <v>234</v>
      </c>
      <c r="F257" s="20">
        <v>42887</v>
      </c>
      <c r="G257" s="11">
        <v>36</v>
      </c>
      <c r="H257" s="13">
        <f t="shared" si="111"/>
        <v>5806.4516129032254</v>
      </c>
      <c r="I257" s="13">
        <f t="shared" si="116"/>
        <v>0</v>
      </c>
      <c r="J257" s="13">
        <f t="shared" si="117"/>
        <v>290.32258064516128</v>
      </c>
      <c r="L257" s="13">
        <f t="shared" si="120"/>
        <v>929.0322580645161</v>
      </c>
      <c r="N257" s="13">
        <f t="shared" si="126"/>
        <v>6094.4516129032254</v>
      </c>
      <c r="P257" s="13">
        <f t="shared" si="127"/>
        <v>13120.258064516129</v>
      </c>
      <c r="Q257" s="12">
        <f t="shared" si="112"/>
        <v>696.77419354838707</v>
      </c>
      <c r="R257" s="12">
        <f t="shared" si="128"/>
        <v>230</v>
      </c>
      <c r="S257" s="21">
        <v>0</v>
      </c>
      <c r="T257" s="13">
        <v>0</v>
      </c>
      <c r="U257" s="13">
        <f t="shared" si="121"/>
        <v>926.77419354838707</v>
      </c>
      <c r="V257" s="13">
        <f t="shared" si="113"/>
        <v>12193.483870967742</v>
      </c>
      <c r="X257" s="13">
        <f t="shared" si="79"/>
        <v>12193.483870967742</v>
      </c>
      <c r="Y257" s="12">
        <f t="shared" si="118"/>
        <v>763.54838709677415</v>
      </c>
      <c r="Z257" s="12">
        <f t="shared" si="114"/>
        <v>624</v>
      </c>
      <c r="AA257" s="1">
        <f t="shared" si="81"/>
        <v>0</v>
      </c>
      <c r="AB257" s="16">
        <f t="shared" si="122"/>
        <v>1387.5483870967741</v>
      </c>
      <c r="AC257" s="16">
        <f t="shared" si="115"/>
        <v>14507.806451612903</v>
      </c>
    </row>
    <row r="258" spans="1:29" x14ac:dyDescent="0.2">
      <c r="A258" s="10" t="s">
        <v>811</v>
      </c>
      <c r="B258" s="11">
        <f t="shared" si="119"/>
        <v>253</v>
      </c>
      <c r="C258" s="17" t="s">
        <v>532</v>
      </c>
      <c r="D258" s="19" t="s">
        <v>50</v>
      </c>
      <c r="E258" s="11" t="s">
        <v>234</v>
      </c>
      <c r="F258" s="20">
        <v>42890</v>
      </c>
      <c r="G258" s="11">
        <v>36</v>
      </c>
      <c r="H258" s="13">
        <f t="shared" si="111"/>
        <v>5806.4516129032254</v>
      </c>
      <c r="I258" s="13">
        <f t="shared" si="116"/>
        <v>0</v>
      </c>
      <c r="J258" s="13">
        <f t="shared" si="117"/>
        <v>290.32258064516128</v>
      </c>
      <c r="L258" s="13">
        <f t="shared" si="120"/>
        <v>929.0322580645161</v>
      </c>
      <c r="N258" s="13">
        <f t="shared" si="126"/>
        <v>6094.4516129032254</v>
      </c>
      <c r="O258" s="13">
        <v>8619</v>
      </c>
      <c r="P258" s="13">
        <f t="shared" si="127"/>
        <v>21739.258064516129</v>
      </c>
      <c r="Q258" s="12">
        <f t="shared" si="112"/>
        <v>696.77419354838707</v>
      </c>
      <c r="R258" s="12">
        <f t="shared" si="128"/>
        <v>381</v>
      </c>
      <c r="S258" s="21">
        <v>0</v>
      </c>
      <c r="T258" s="13">
        <v>0</v>
      </c>
      <c r="U258" s="13">
        <f t="shared" si="121"/>
        <v>1077.7741935483871</v>
      </c>
      <c r="V258" s="13">
        <f t="shared" si="113"/>
        <v>20661.483870967742</v>
      </c>
      <c r="W258" s="13">
        <v>8468</v>
      </c>
      <c r="X258" s="13">
        <f t="shared" si="79"/>
        <v>12193.483870967742</v>
      </c>
      <c r="Y258" s="12">
        <f t="shared" si="118"/>
        <v>763.54838709677415</v>
      </c>
      <c r="Z258" s="12">
        <f t="shared" si="114"/>
        <v>1033</v>
      </c>
      <c r="AA258" s="1">
        <f t="shared" si="81"/>
        <v>0</v>
      </c>
      <c r="AB258" s="16">
        <f t="shared" si="122"/>
        <v>1796.5483870967741</v>
      </c>
      <c r="AC258" s="16">
        <f t="shared" si="115"/>
        <v>23535.806451612902</v>
      </c>
    </row>
    <row r="259" spans="1:29" x14ac:dyDescent="0.2">
      <c r="A259" s="10" t="s">
        <v>812</v>
      </c>
      <c r="B259" s="11">
        <f t="shared" si="119"/>
        <v>254</v>
      </c>
      <c r="C259" s="11" t="s">
        <v>535</v>
      </c>
      <c r="D259" s="19" t="s">
        <v>50</v>
      </c>
      <c r="E259" s="11" t="s">
        <v>234</v>
      </c>
      <c r="F259" s="20">
        <v>42891</v>
      </c>
      <c r="G259" s="11">
        <v>28</v>
      </c>
      <c r="H259" s="13">
        <f t="shared" si="111"/>
        <v>4516.1290322580644</v>
      </c>
      <c r="I259" s="13">
        <f t="shared" si="116"/>
        <v>0</v>
      </c>
      <c r="J259" s="13">
        <f t="shared" si="117"/>
        <v>225.80645161290323</v>
      </c>
      <c r="L259" s="13">
        <f t="shared" si="120"/>
        <v>722.58064516129025</v>
      </c>
      <c r="N259" s="13">
        <f t="shared" si="126"/>
        <v>4740.1290322580644</v>
      </c>
      <c r="P259" s="13">
        <f t="shared" si="127"/>
        <v>10204.645161290322</v>
      </c>
      <c r="Q259" s="12">
        <f t="shared" si="112"/>
        <v>541.93548387096769</v>
      </c>
      <c r="R259" s="12">
        <f t="shared" si="128"/>
        <v>179</v>
      </c>
      <c r="S259" s="21">
        <v>0</v>
      </c>
      <c r="T259" s="13">
        <v>0</v>
      </c>
      <c r="U259" s="13">
        <f t="shared" si="121"/>
        <v>720.93548387096769</v>
      </c>
      <c r="V259" s="13">
        <f t="shared" si="113"/>
        <v>9483.7096774193542</v>
      </c>
      <c r="X259" s="13">
        <f t="shared" ref="X259:X322" si="129">V259-W259</f>
        <v>9483.7096774193542</v>
      </c>
      <c r="Y259" s="12">
        <f t="shared" si="118"/>
        <v>593.87096774193549</v>
      </c>
      <c r="Z259" s="12">
        <f t="shared" si="114"/>
        <v>485</v>
      </c>
      <c r="AA259" s="1">
        <f t="shared" si="81"/>
        <v>0</v>
      </c>
      <c r="AB259" s="16">
        <f t="shared" si="122"/>
        <v>1078.8709677419356</v>
      </c>
      <c r="AC259" s="16">
        <f t="shared" si="115"/>
        <v>11283.516129032258</v>
      </c>
    </row>
    <row r="260" spans="1:29" x14ac:dyDescent="0.2">
      <c r="A260" s="10" t="s">
        <v>813</v>
      </c>
      <c r="B260" s="11">
        <f t="shared" si="119"/>
        <v>255</v>
      </c>
      <c r="C260" s="11" t="s">
        <v>710</v>
      </c>
      <c r="D260" s="19" t="s">
        <v>50</v>
      </c>
      <c r="E260" s="11" t="s">
        <v>234</v>
      </c>
      <c r="F260" s="20">
        <v>42892</v>
      </c>
      <c r="G260" s="11">
        <v>37</v>
      </c>
      <c r="H260" s="13">
        <f t="shared" si="111"/>
        <v>5967.7419354838703</v>
      </c>
      <c r="I260" s="13">
        <f t="shared" si="116"/>
        <v>0</v>
      </c>
      <c r="J260" s="13">
        <f t="shared" si="117"/>
        <v>298.38709677419354</v>
      </c>
      <c r="L260" s="13">
        <f t="shared" si="120"/>
        <v>954.83870967741927</v>
      </c>
      <c r="N260" s="13">
        <f t="shared" si="126"/>
        <v>6263.7419354838703</v>
      </c>
      <c r="P260" s="13">
        <f t="shared" si="127"/>
        <v>13484.709677419352</v>
      </c>
      <c r="Q260" s="12">
        <f t="shared" si="112"/>
        <v>716.1290322580644</v>
      </c>
      <c r="R260" s="12">
        <f t="shared" si="128"/>
        <v>236</v>
      </c>
      <c r="S260" s="21">
        <v>0</v>
      </c>
      <c r="T260" s="13">
        <v>0</v>
      </c>
      <c r="U260" s="13">
        <f t="shared" si="121"/>
        <v>952.1290322580644</v>
      </c>
      <c r="V260" s="13">
        <f t="shared" si="113"/>
        <v>12532.580645161288</v>
      </c>
      <c r="X260" s="13">
        <f t="shared" si="129"/>
        <v>12532.580645161288</v>
      </c>
      <c r="Y260" s="12">
        <f t="shared" si="118"/>
        <v>784.75806451612902</v>
      </c>
      <c r="Z260" s="12">
        <f t="shared" si="114"/>
        <v>641</v>
      </c>
      <c r="AA260" s="1">
        <f t="shared" si="81"/>
        <v>0</v>
      </c>
      <c r="AB260" s="16">
        <f t="shared" si="122"/>
        <v>1425.758064516129</v>
      </c>
      <c r="AC260" s="16">
        <f t="shared" si="115"/>
        <v>14910.467741935481</v>
      </c>
    </row>
    <row r="261" spans="1:29" x14ac:dyDescent="0.2">
      <c r="A261" s="10" t="s">
        <v>814</v>
      </c>
      <c r="B261" s="11">
        <f t="shared" si="119"/>
        <v>256</v>
      </c>
      <c r="C261" s="11" t="s">
        <v>538</v>
      </c>
      <c r="D261" s="19" t="s">
        <v>50</v>
      </c>
      <c r="E261" s="11" t="s">
        <v>234</v>
      </c>
      <c r="F261" s="20">
        <v>42887</v>
      </c>
      <c r="G261" s="11">
        <v>37</v>
      </c>
      <c r="H261" s="13">
        <f t="shared" si="111"/>
        <v>5967.7419354838703</v>
      </c>
      <c r="I261" s="13">
        <f t="shared" si="116"/>
        <v>0</v>
      </c>
      <c r="J261" s="13">
        <f t="shared" si="117"/>
        <v>298.38709677419354</v>
      </c>
      <c r="L261" s="13">
        <f t="shared" si="120"/>
        <v>954.83870967741927</v>
      </c>
      <c r="N261" s="13">
        <f t="shared" si="126"/>
        <v>6263.7419354838703</v>
      </c>
      <c r="P261" s="13">
        <f t="shared" si="127"/>
        <v>13484.709677419352</v>
      </c>
      <c r="Q261" s="12">
        <f t="shared" si="112"/>
        <v>716.1290322580644</v>
      </c>
      <c r="R261" s="12">
        <f t="shared" si="128"/>
        <v>236</v>
      </c>
      <c r="S261" s="21">
        <v>0</v>
      </c>
      <c r="T261" s="13">
        <v>0</v>
      </c>
      <c r="U261" s="13">
        <f t="shared" si="121"/>
        <v>952.1290322580644</v>
      </c>
      <c r="V261" s="13">
        <f t="shared" si="113"/>
        <v>12532.580645161288</v>
      </c>
      <c r="X261" s="13">
        <f t="shared" si="129"/>
        <v>12532.580645161288</v>
      </c>
      <c r="Y261" s="12">
        <f t="shared" si="118"/>
        <v>784.75806451612902</v>
      </c>
      <c r="Z261" s="12">
        <f t="shared" si="114"/>
        <v>641</v>
      </c>
      <c r="AA261" s="1">
        <f t="shared" si="81"/>
        <v>0</v>
      </c>
      <c r="AB261" s="16">
        <f t="shared" si="122"/>
        <v>1425.758064516129</v>
      </c>
      <c r="AC261" s="16">
        <f t="shared" si="115"/>
        <v>14910.467741935481</v>
      </c>
    </row>
    <row r="262" spans="1:29" x14ac:dyDescent="0.2">
      <c r="A262" s="10" t="s">
        <v>815</v>
      </c>
      <c r="B262" s="11">
        <f t="shared" si="119"/>
        <v>257</v>
      </c>
      <c r="C262" s="11" t="s">
        <v>541</v>
      </c>
      <c r="D262" s="19" t="s">
        <v>50</v>
      </c>
      <c r="E262" s="11" t="s">
        <v>234</v>
      </c>
      <c r="F262" s="20">
        <v>42887</v>
      </c>
      <c r="G262" s="11">
        <v>35</v>
      </c>
      <c r="H262" s="13">
        <f t="shared" ref="H262:H325" si="130">(5000/G$3)*G262</f>
        <v>5645.1612903225805</v>
      </c>
      <c r="I262" s="13">
        <f t="shared" si="116"/>
        <v>0</v>
      </c>
      <c r="J262" s="13">
        <f t="shared" si="117"/>
        <v>282.25806451612902</v>
      </c>
      <c r="L262" s="13">
        <f t="shared" si="120"/>
        <v>903.22580645161281</v>
      </c>
      <c r="N262" s="13">
        <f t="shared" si="126"/>
        <v>5925.1612903225805</v>
      </c>
      <c r="P262" s="13">
        <f t="shared" si="127"/>
        <v>12755.806451612902</v>
      </c>
      <c r="Q262" s="12">
        <f t="shared" ref="Q262:Q325" si="131">(H262+I262)*12%</f>
        <v>677.41935483870964</v>
      </c>
      <c r="R262" s="12">
        <f t="shared" si="128"/>
        <v>224</v>
      </c>
      <c r="S262" s="21">
        <v>0</v>
      </c>
      <c r="T262" s="13">
        <v>0</v>
      </c>
      <c r="U262" s="13">
        <f t="shared" si="121"/>
        <v>901.41935483870964</v>
      </c>
      <c r="V262" s="13">
        <f t="shared" ref="V262:V325" si="132">P262-U262</f>
        <v>11854.387096774191</v>
      </c>
      <c r="X262" s="13">
        <f t="shared" si="129"/>
        <v>11854.387096774191</v>
      </c>
      <c r="Y262" s="12">
        <f t="shared" si="118"/>
        <v>742.33870967741939</v>
      </c>
      <c r="Z262" s="12">
        <f t="shared" ref="Z262:Z325" si="133">CEILING((P262)*4.75%,1)</f>
        <v>606</v>
      </c>
      <c r="AA262" s="1">
        <f t="shared" si="81"/>
        <v>0</v>
      </c>
      <c r="AB262" s="16">
        <f t="shared" si="122"/>
        <v>1348.3387096774195</v>
      </c>
      <c r="AC262" s="16">
        <f t="shared" ref="AC262:AC325" si="134">P262+AB262</f>
        <v>14104.145161290322</v>
      </c>
    </row>
    <row r="263" spans="1:29" x14ac:dyDescent="0.2">
      <c r="A263" s="10" t="s">
        <v>816</v>
      </c>
      <c r="B263" s="11">
        <f t="shared" si="119"/>
        <v>258</v>
      </c>
      <c r="C263" s="11" t="s">
        <v>542</v>
      </c>
      <c r="D263" s="19" t="s">
        <v>50</v>
      </c>
      <c r="E263" s="11" t="s">
        <v>234</v>
      </c>
      <c r="F263" s="20">
        <v>42895</v>
      </c>
      <c r="G263" s="11">
        <v>13</v>
      </c>
      <c r="H263" s="13">
        <f t="shared" si="130"/>
        <v>2096.7741935483868</v>
      </c>
      <c r="I263" s="13">
        <f t="shared" ref="I263:I326" si="135">((0)/G$3)*G263</f>
        <v>0</v>
      </c>
      <c r="J263" s="13">
        <f t="shared" ref="J263:J326" si="136">(H263+I263)*5%</f>
        <v>104.83870967741935</v>
      </c>
      <c r="L263" s="13">
        <f t="shared" si="120"/>
        <v>335.48387096774189</v>
      </c>
      <c r="N263" s="13">
        <f t="shared" si="126"/>
        <v>2200.7741935483868</v>
      </c>
      <c r="P263" s="13">
        <f t="shared" si="127"/>
        <v>4737.8709677419356</v>
      </c>
      <c r="Q263" s="12">
        <f t="shared" si="131"/>
        <v>251.61290322580641</v>
      </c>
      <c r="R263" s="12">
        <f t="shared" si="128"/>
        <v>83</v>
      </c>
      <c r="S263" s="21">
        <v>0</v>
      </c>
      <c r="T263" s="13">
        <v>0</v>
      </c>
      <c r="U263" s="13">
        <f t="shared" si="121"/>
        <v>334.61290322580641</v>
      </c>
      <c r="V263" s="13">
        <f t="shared" si="132"/>
        <v>4403.2580645161288</v>
      </c>
      <c r="X263" s="13">
        <f t="shared" si="129"/>
        <v>4403.2580645161288</v>
      </c>
      <c r="Y263" s="12">
        <f t="shared" ref="Y263:Y326" si="137">(H263+I263)*13.15%</f>
        <v>275.72580645161287</v>
      </c>
      <c r="Z263" s="12">
        <f t="shared" si="133"/>
        <v>226</v>
      </c>
      <c r="AA263" s="1">
        <f t="shared" si="81"/>
        <v>0</v>
      </c>
      <c r="AB263" s="16">
        <f t="shared" si="122"/>
        <v>501.72580645161287</v>
      </c>
      <c r="AC263" s="16">
        <f t="shared" si="134"/>
        <v>5239.5967741935483</v>
      </c>
    </row>
    <row r="264" spans="1:29" x14ac:dyDescent="0.2">
      <c r="A264" s="10" t="s">
        <v>817</v>
      </c>
      <c r="B264" s="11">
        <f t="shared" ref="B264:B327" si="138">B263+1</f>
        <v>259</v>
      </c>
      <c r="C264" s="11" t="s">
        <v>703</v>
      </c>
      <c r="D264" s="19" t="s">
        <v>50</v>
      </c>
      <c r="E264" s="11" t="s">
        <v>238</v>
      </c>
      <c r="F264" s="20">
        <v>42571</v>
      </c>
      <c r="G264" s="11">
        <v>37</v>
      </c>
      <c r="H264" s="13">
        <f t="shared" si="130"/>
        <v>5967.7419354838703</v>
      </c>
      <c r="I264" s="13">
        <f t="shared" si="135"/>
        <v>0</v>
      </c>
      <c r="J264" s="13">
        <f t="shared" si="136"/>
        <v>298.38709677419354</v>
      </c>
      <c r="L264" s="13">
        <f t="shared" si="120"/>
        <v>954.83870967741927</v>
      </c>
      <c r="N264" s="13">
        <f t="shared" si="126"/>
        <v>6263.7419354838703</v>
      </c>
      <c r="P264" s="13">
        <f t="shared" si="127"/>
        <v>13484.709677419352</v>
      </c>
      <c r="Q264" s="12">
        <f t="shared" si="131"/>
        <v>716.1290322580644</v>
      </c>
      <c r="R264" s="12">
        <f t="shared" si="128"/>
        <v>236</v>
      </c>
      <c r="S264" s="21">
        <v>0</v>
      </c>
      <c r="T264" s="13">
        <v>0</v>
      </c>
      <c r="U264" s="13">
        <f t="shared" si="121"/>
        <v>952.1290322580644</v>
      </c>
      <c r="V264" s="13">
        <f t="shared" si="132"/>
        <v>12532.580645161288</v>
      </c>
      <c r="X264" s="13">
        <f t="shared" si="129"/>
        <v>12532.580645161288</v>
      </c>
      <c r="Y264" s="12">
        <f t="shared" si="137"/>
        <v>784.75806451612902</v>
      </c>
      <c r="Z264" s="12">
        <f t="shared" si="133"/>
        <v>641</v>
      </c>
      <c r="AA264" s="1">
        <f t="shared" si="81"/>
        <v>0</v>
      </c>
      <c r="AB264" s="16">
        <f t="shared" si="122"/>
        <v>1425.758064516129</v>
      </c>
      <c r="AC264" s="16">
        <f t="shared" si="134"/>
        <v>14910.467741935481</v>
      </c>
    </row>
    <row r="265" spans="1:29" x14ac:dyDescent="0.2">
      <c r="A265" s="10" t="s">
        <v>818</v>
      </c>
      <c r="B265" s="11">
        <f t="shared" si="138"/>
        <v>260</v>
      </c>
      <c r="C265" s="11" t="s">
        <v>553</v>
      </c>
      <c r="D265" s="19" t="s">
        <v>50</v>
      </c>
      <c r="E265" s="11" t="s">
        <v>484</v>
      </c>
      <c r="F265" s="20">
        <v>42887</v>
      </c>
      <c r="G265" s="11">
        <v>19</v>
      </c>
      <c r="H265" s="13">
        <f t="shared" si="130"/>
        <v>3064.516129032258</v>
      </c>
      <c r="I265" s="13">
        <f t="shared" si="135"/>
        <v>0</v>
      </c>
      <c r="J265" s="13">
        <f t="shared" si="136"/>
        <v>153.2258064516129</v>
      </c>
      <c r="L265" s="13">
        <f t="shared" ref="L265:L328" si="139">((800)/G$3)*G265</f>
        <v>490.32258064516128</v>
      </c>
      <c r="N265" s="13">
        <f t="shared" ref="N265:N277" si="140">((1950+1441-178+1017+0)/G$3)*G265</f>
        <v>2592.5806451612902</v>
      </c>
      <c r="P265" s="13">
        <f t="shared" ref="P265:P419" si="141">SUM(H265:O265)</f>
        <v>6300.645161290322</v>
      </c>
      <c r="Q265" s="12">
        <f t="shared" si="131"/>
        <v>367.74193548387098</v>
      </c>
      <c r="R265" s="12">
        <f t="shared" si="128"/>
        <v>111</v>
      </c>
      <c r="S265" s="21">
        <v>0</v>
      </c>
      <c r="T265" s="13">
        <v>0</v>
      </c>
      <c r="U265" s="13">
        <f t="shared" si="121"/>
        <v>478.74193548387098</v>
      </c>
      <c r="V265" s="13">
        <f t="shared" si="132"/>
        <v>5821.9032258064508</v>
      </c>
      <c r="X265" s="13">
        <f t="shared" si="129"/>
        <v>5821.9032258064508</v>
      </c>
      <c r="Y265" s="12">
        <f t="shared" si="137"/>
        <v>402.98387096774195</v>
      </c>
      <c r="Z265" s="12">
        <f t="shared" si="133"/>
        <v>300</v>
      </c>
      <c r="AA265" s="1">
        <f t="shared" si="81"/>
        <v>0</v>
      </c>
      <c r="AB265" s="16">
        <f t="shared" si="122"/>
        <v>702.98387096774195</v>
      </c>
      <c r="AC265" s="16">
        <f t="shared" si="134"/>
        <v>7003.6290322580644</v>
      </c>
    </row>
    <row r="266" spans="1:29" x14ac:dyDescent="0.2">
      <c r="A266" s="10" t="s">
        <v>819</v>
      </c>
      <c r="B266" s="11">
        <f t="shared" si="138"/>
        <v>261</v>
      </c>
      <c r="C266" s="11" t="s">
        <v>554</v>
      </c>
      <c r="D266" s="19" t="s">
        <v>50</v>
      </c>
      <c r="E266" s="11" t="s">
        <v>239</v>
      </c>
      <c r="F266" s="20">
        <v>42537</v>
      </c>
      <c r="G266" s="11">
        <v>36</v>
      </c>
      <c r="H266" s="13">
        <f t="shared" si="130"/>
        <v>5806.4516129032254</v>
      </c>
      <c r="I266" s="13">
        <f t="shared" si="135"/>
        <v>0</v>
      </c>
      <c r="J266" s="13">
        <f t="shared" si="136"/>
        <v>290.32258064516128</v>
      </c>
      <c r="L266" s="13">
        <f t="shared" si="139"/>
        <v>929.0322580645161</v>
      </c>
      <c r="N266" s="13">
        <f t="shared" si="140"/>
        <v>4912.2580645161288</v>
      </c>
      <c r="P266" s="13">
        <f t="shared" si="141"/>
        <v>11938.06451612903</v>
      </c>
      <c r="Q266" s="12">
        <f t="shared" si="131"/>
        <v>696.77419354838707</v>
      </c>
      <c r="R266" s="12">
        <f t="shared" si="128"/>
        <v>209</v>
      </c>
      <c r="S266" s="21">
        <v>0</v>
      </c>
      <c r="T266" s="13">
        <v>0</v>
      </c>
      <c r="U266" s="13">
        <f t="shared" ref="U266:U329" si="142">SUM(Q266:T266)</f>
        <v>905.77419354838707</v>
      </c>
      <c r="V266" s="13">
        <f t="shared" si="132"/>
        <v>11032.290322580644</v>
      </c>
      <c r="X266" s="13">
        <f t="shared" si="129"/>
        <v>11032.290322580644</v>
      </c>
      <c r="Y266" s="12">
        <f t="shared" si="137"/>
        <v>763.54838709677415</v>
      </c>
      <c r="Z266" s="12">
        <f t="shared" si="133"/>
        <v>568</v>
      </c>
      <c r="AA266" s="1">
        <f t="shared" si="81"/>
        <v>0</v>
      </c>
      <c r="AB266" s="16">
        <f t="shared" ref="AB266:AB329" si="143">SUM(Y266:AA266)</f>
        <v>1331.5483870967741</v>
      </c>
      <c r="AC266" s="16">
        <f t="shared" si="134"/>
        <v>13269.612903225805</v>
      </c>
    </row>
    <row r="267" spans="1:29" x14ac:dyDescent="0.2">
      <c r="A267" s="10" t="s">
        <v>585</v>
      </c>
      <c r="B267" s="11">
        <f t="shared" si="138"/>
        <v>262</v>
      </c>
      <c r="C267" s="11" t="s">
        <v>556</v>
      </c>
      <c r="D267" s="19" t="s">
        <v>50</v>
      </c>
      <c r="E267" s="11" t="s">
        <v>484</v>
      </c>
      <c r="F267" s="20">
        <v>42702</v>
      </c>
      <c r="G267" s="11">
        <v>37</v>
      </c>
      <c r="H267" s="13">
        <f t="shared" si="130"/>
        <v>5967.7419354838703</v>
      </c>
      <c r="I267" s="13">
        <f t="shared" si="135"/>
        <v>0</v>
      </c>
      <c r="J267" s="13">
        <f t="shared" si="136"/>
        <v>298.38709677419354</v>
      </c>
      <c r="L267" s="13">
        <f t="shared" si="139"/>
        <v>954.83870967741927</v>
      </c>
      <c r="N267" s="13">
        <f t="shared" si="140"/>
        <v>5048.7096774193542</v>
      </c>
      <c r="P267" s="13">
        <f t="shared" si="141"/>
        <v>12269.677419354837</v>
      </c>
      <c r="Q267" s="12">
        <f t="shared" si="131"/>
        <v>716.1290322580644</v>
      </c>
      <c r="R267" s="12">
        <f t="shared" si="128"/>
        <v>215</v>
      </c>
      <c r="S267" s="21">
        <v>0</v>
      </c>
      <c r="T267" s="13">
        <v>0</v>
      </c>
      <c r="U267" s="13">
        <f t="shared" si="142"/>
        <v>931.1290322580644</v>
      </c>
      <c r="V267" s="13">
        <f t="shared" si="132"/>
        <v>11338.548387096773</v>
      </c>
      <c r="X267" s="13">
        <f t="shared" si="129"/>
        <v>11338.548387096773</v>
      </c>
      <c r="Y267" s="12">
        <f t="shared" si="137"/>
        <v>784.75806451612902</v>
      </c>
      <c r="Z267" s="12">
        <f t="shared" si="133"/>
        <v>583</v>
      </c>
      <c r="AA267" s="1">
        <f t="shared" si="81"/>
        <v>0</v>
      </c>
      <c r="AB267" s="16">
        <f t="shared" si="143"/>
        <v>1367.758064516129</v>
      </c>
      <c r="AC267" s="16">
        <f t="shared" si="134"/>
        <v>13637.435483870966</v>
      </c>
    </row>
    <row r="268" spans="1:29" x14ac:dyDescent="0.2">
      <c r="A268" s="10" t="s">
        <v>820</v>
      </c>
      <c r="B268" s="11">
        <f t="shared" si="138"/>
        <v>263</v>
      </c>
      <c r="C268" s="11" t="s">
        <v>557</v>
      </c>
      <c r="D268" s="19" t="s">
        <v>50</v>
      </c>
      <c r="E268" s="11" t="s">
        <v>484</v>
      </c>
      <c r="F268" s="20">
        <v>42891</v>
      </c>
      <c r="G268" s="11">
        <v>27.5</v>
      </c>
      <c r="H268" s="13">
        <f t="shared" si="130"/>
        <v>4435.4838709677415</v>
      </c>
      <c r="I268" s="13">
        <f t="shared" si="135"/>
        <v>0</v>
      </c>
      <c r="J268" s="13">
        <f t="shared" si="136"/>
        <v>221.77419354838707</v>
      </c>
      <c r="L268" s="13">
        <f t="shared" si="139"/>
        <v>709.67741935483866</v>
      </c>
      <c r="N268" s="13">
        <f t="shared" si="140"/>
        <v>3752.4193548387093</v>
      </c>
      <c r="P268" s="13">
        <f t="shared" si="141"/>
        <v>9119.354838709678</v>
      </c>
      <c r="Q268" s="12">
        <f t="shared" si="131"/>
        <v>532.25806451612891</v>
      </c>
      <c r="R268" s="12">
        <f t="shared" si="128"/>
        <v>160</v>
      </c>
      <c r="S268" s="21">
        <v>0</v>
      </c>
      <c r="T268" s="13">
        <v>0</v>
      </c>
      <c r="U268" s="13">
        <f t="shared" si="142"/>
        <v>692.25806451612891</v>
      </c>
      <c r="V268" s="13">
        <f t="shared" si="132"/>
        <v>8427.0967741935492</v>
      </c>
      <c r="X268" s="13">
        <f t="shared" si="129"/>
        <v>8427.0967741935492</v>
      </c>
      <c r="Y268" s="12">
        <f t="shared" si="137"/>
        <v>583.26612903225805</v>
      </c>
      <c r="Z268" s="12">
        <f t="shared" si="133"/>
        <v>434</v>
      </c>
      <c r="AA268" s="1">
        <f t="shared" ref="AA268:AA331" si="144">T268*3</f>
        <v>0</v>
      </c>
      <c r="AB268" s="16">
        <f t="shared" si="143"/>
        <v>1017.266129032258</v>
      </c>
      <c r="AC268" s="16">
        <f t="shared" si="134"/>
        <v>10136.620967741936</v>
      </c>
    </row>
    <row r="269" spans="1:29" x14ac:dyDescent="0.2">
      <c r="A269" s="10" t="s">
        <v>821</v>
      </c>
      <c r="B269" s="11">
        <f t="shared" si="138"/>
        <v>264</v>
      </c>
      <c r="C269" s="11" t="s">
        <v>560</v>
      </c>
      <c r="D269" s="19" t="s">
        <v>50</v>
      </c>
      <c r="E269" s="11" t="s">
        <v>484</v>
      </c>
      <c r="F269" s="20">
        <v>42895</v>
      </c>
      <c r="G269" s="11">
        <v>35.5</v>
      </c>
      <c r="H269" s="13">
        <f t="shared" si="130"/>
        <v>5725.8064516129025</v>
      </c>
      <c r="I269" s="13">
        <f t="shared" si="135"/>
        <v>0</v>
      </c>
      <c r="J269" s="13">
        <f t="shared" si="136"/>
        <v>286.29032258064512</v>
      </c>
      <c r="L269" s="13">
        <f t="shared" si="139"/>
        <v>916.12903225806451</v>
      </c>
      <c r="N269" s="13">
        <f t="shared" si="140"/>
        <v>4844.0322580645161</v>
      </c>
      <c r="P269" s="13">
        <f t="shared" si="141"/>
        <v>11772.258064516129</v>
      </c>
      <c r="Q269" s="12">
        <f t="shared" si="131"/>
        <v>687.0967741935483</v>
      </c>
      <c r="R269" s="12">
        <f t="shared" si="128"/>
        <v>207</v>
      </c>
      <c r="S269" s="21">
        <v>0</v>
      </c>
      <c r="T269" s="13">
        <v>0</v>
      </c>
      <c r="U269" s="13">
        <f t="shared" si="142"/>
        <v>894.0967741935483</v>
      </c>
      <c r="V269" s="13">
        <f t="shared" si="132"/>
        <v>10878.16129032258</v>
      </c>
      <c r="X269" s="13">
        <f t="shared" si="129"/>
        <v>10878.16129032258</v>
      </c>
      <c r="Y269" s="12">
        <f t="shared" si="137"/>
        <v>752.94354838709671</v>
      </c>
      <c r="Z269" s="12">
        <f t="shared" si="133"/>
        <v>560</v>
      </c>
      <c r="AA269" s="1">
        <f t="shared" si="144"/>
        <v>0</v>
      </c>
      <c r="AB269" s="16">
        <f t="shared" si="143"/>
        <v>1312.9435483870966</v>
      </c>
      <c r="AC269" s="16">
        <f t="shared" si="134"/>
        <v>13085.201612903225</v>
      </c>
    </row>
    <row r="270" spans="1:29" x14ac:dyDescent="0.2">
      <c r="A270" s="10" t="s">
        <v>822</v>
      </c>
      <c r="B270" s="11">
        <f t="shared" si="138"/>
        <v>265</v>
      </c>
      <c r="C270" s="11" t="s">
        <v>561</v>
      </c>
      <c r="D270" s="19" t="s">
        <v>50</v>
      </c>
      <c r="E270" s="11" t="s">
        <v>232</v>
      </c>
      <c r="F270" s="20">
        <v>42896</v>
      </c>
      <c r="G270" s="11">
        <v>36</v>
      </c>
      <c r="H270" s="13">
        <f t="shared" si="130"/>
        <v>5806.4516129032254</v>
      </c>
      <c r="I270" s="13">
        <f t="shared" si="135"/>
        <v>0</v>
      </c>
      <c r="J270" s="13">
        <f t="shared" si="136"/>
        <v>290.32258064516128</v>
      </c>
      <c r="L270" s="13">
        <f t="shared" si="139"/>
        <v>929.0322580645161</v>
      </c>
      <c r="N270" s="13">
        <f t="shared" si="140"/>
        <v>4912.2580645161288</v>
      </c>
      <c r="P270" s="13">
        <f t="shared" si="141"/>
        <v>11938.06451612903</v>
      </c>
      <c r="Q270" s="12">
        <f t="shared" si="131"/>
        <v>696.77419354838707</v>
      </c>
      <c r="R270" s="12">
        <f t="shared" si="128"/>
        <v>209</v>
      </c>
      <c r="S270" s="21">
        <v>0</v>
      </c>
      <c r="T270" s="13">
        <v>0</v>
      </c>
      <c r="U270" s="13">
        <f t="shared" si="142"/>
        <v>905.77419354838707</v>
      </c>
      <c r="V270" s="13">
        <f t="shared" si="132"/>
        <v>11032.290322580644</v>
      </c>
      <c r="X270" s="13">
        <f t="shared" si="129"/>
        <v>11032.290322580644</v>
      </c>
      <c r="Y270" s="12">
        <f t="shared" si="137"/>
        <v>763.54838709677415</v>
      </c>
      <c r="Z270" s="12">
        <f t="shared" si="133"/>
        <v>568</v>
      </c>
      <c r="AA270" s="1">
        <f t="shared" si="144"/>
        <v>0</v>
      </c>
      <c r="AB270" s="16">
        <f t="shared" si="143"/>
        <v>1331.5483870967741</v>
      </c>
      <c r="AC270" s="16">
        <f t="shared" si="134"/>
        <v>13269.612903225805</v>
      </c>
    </row>
    <row r="271" spans="1:29" x14ac:dyDescent="0.2">
      <c r="A271" s="10" t="s">
        <v>823</v>
      </c>
      <c r="B271" s="11">
        <f t="shared" si="138"/>
        <v>266</v>
      </c>
      <c r="C271" s="11" t="s">
        <v>562</v>
      </c>
      <c r="D271" s="19" t="s">
        <v>50</v>
      </c>
      <c r="E271" s="11" t="s">
        <v>484</v>
      </c>
      <c r="F271" s="20">
        <v>42888</v>
      </c>
      <c r="G271" s="11">
        <v>31</v>
      </c>
      <c r="H271" s="13">
        <f t="shared" si="130"/>
        <v>5000</v>
      </c>
      <c r="I271" s="13">
        <f t="shared" si="135"/>
        <v>0</v>
      </c>
      <c r="J271" s="13">
        <f t="shared" si="136"/>
        <v>250</v>
      </c>
      <c r="L271" s="13">
        <f t="shared" si="139"/>
        <v>800</v>
      </c>
      <c r="N271" s="13">
        <f t="shared" si="140"/>
        <v>4230</v>
      </c>
      <c r="P271" s="13">
        <f t="shared" si="141"/>
        <v>10280</v>
      </c>
      <c r="Q271" s="12">
        <f t="shared" si="131"/>
        <v>600</v>
      </c>
      <c r="R271" s="12">
        <f t="shared" si="128"/>
        <v>180</v>
      </c>
      <c r="S271" s="21">
        <v>0</v>
      </c>
      <c r="T271" s="13">
        <v>0</v>
      </c>
      <c r="U271" s="13">
        <f t="shared" si="142"/>
        <v>780</v>
      </c>
      <c r="V271" s="13">
        <f t="shared" si="132"/>
        <v>9500</v>
      </c>
      <c r="X271" s="13">
        <f t="shared" si="129"/>
        <v>9500</v>
      </c>
      <c r="Y271" s="12">
        <f t="shared" si="137"/>
        <v>657.5</v>
      </c>
      <c r="Z271" s="12">
        <f t="shared" si="133"/>
        <v>489</v>
      </c>
      <c r="AA271" s="1">
        <f t="shared" si="144"/>
        <v>0</v>
      </c>
      <c r="AB271" s="16">
        <f t="shared" si="143"/>
        <v>1146.5</v>
      </c>
      <c r="AC271" s="16">
        <f t="shared" si="134"/>
        <v>11426.5</v>
      </c>
    </row>
    <row r="272" spans="1:29" x14ac:dyDescent="0.2">
      <c r="A272" s="10" t="s">
        <v>824</v>
      </c>
      <c r="B272" s="11">
        <f t="shared" si="138"/>
        <v>267</v>
      </c>
      <c r="C272" s="11" t="s">
        <v>502</v>
      </c>
      <c r="D272" s="19" t="s">
        <v>50</v>
      </c>
      <c r="E272" s="11" t="s">
        <v>484</v>
      </c>
      <c r="F272" s="20">
        <v>42888</v>
      </c>
      <c r="G272" s="11">
        <v>27</v>
      </c>
      <c r="H272" s="13">
        <f t="shared" si="130"/>
        <v>4354.8387096774195</v>
      </c>
      <c r="I272" s="13">
        <f t="shared" si="135"/>
        <v>0</v>
      </c>
      <c r="J272" s="13">
        <f t="shared" si="136"/>
        <v>217.74193548387098</v>
      </c>
      <c r="L272" s="13">
        <f t="shared" si="139"/>
        <v>696.77419354838707</v>
      </c>
      <c r="N272" s="13">
        <f t="shared" si="140"/>
        <v>3684.1935483870966</v>
      </c>
      <c r="P272" s="13">
        <f t="shared" si="141"/>
        <v>8953.5483870967746</v>
      </c>
      <c r="Q272" s="12">
        <f t="shared" si="131"/>
        <v>522.58064516129036</v>
      </c>
      <c r="R272" s="12">
        <f t="shared" si="128"/>
        <v>157</v>
      </c>
      <c r="S272" s="21">
        <v>0</v>
      </c>
      <c r="T272" s="13">
        <v>0</v>
      </c>
      <c r="U272" s="13">
        <f t="shared" si="142"/>
        <v>679.58064516129036</v>
      </c>
      <c r="V272" s="13">
        <f t="shared" si="132"/>
        <v>8273.9677419354848</v>
      </c>
      <c r="X272" s="13">
        <f t="shared" si="129"/>
        <v>8273.9677419354848</v>
      </c>
      <c r="Y272" s="12">
        <f t="shared" si="137"/>
        <v>572.66129032258073</v>
      </c>
      <c r="Z272" s="12">
        <f t="shared" si="133"/>
        <v>426</v>
      </c>
      <c r="AA272" s="1">
        <f t="shared" si="144"/>
        <v>0</v>
      </c>
      <c r="AB272" s="16">
        <f t="shared" si="143"/>
        <v>998.66129032258073</v>
      </c>
      <c r="AC272" s="16">
        <f t="shared" si="134"/>
        <v>9952.209677419356</v>
      </c>
    </row>
    <row r="273" spans="1:29" x14ac:dyDescent="0.2">
      <c r="A273" s="10" t="s">
        <v>825</v>
      </c>
      <c r="B273" s="11">
        <f t="shared" si="138"/>
        <v>268</v>
      </c>
      <c r="C273" s="11" t="s">
        <v>564</v>
      </c>
      <c r="D273" s="19" t="s">
        <v>50</v>
      </c>
      <c r="E273" s="11" t="s">
        <v>484</v>
      </c>
      <c r="F273" s="20">
        <v>42888</v>
      </c>
      <c r="G273" s="11">
        <v>9</v>
      </c>
      <c r="H273" s="13">
        <f t="shared" si="130"/>
        <v>1451.6129032258063</v>
      </c>
      <c r="I273" s="13">
        <f t="shared" si="135"/>
        <v>0</v>
      </c>
      <c r="J273" s="13">
        <f t="shared" si="136"/>
        <v>72.58064516129032</v>
      </c>
      <c r="L273" s="13">
        <f t="shared" si="139"/>
        <v>232.25806451612902</v>
      </c>
      <c r="N273" s="13">
        <f t="shared" si="140"/>
        <v>1228.0645161290322</v>
      </c>
      <c r="P273" s="13">
        <f t="shared" si="141"/>
        <v>2984.5161290322576</v>
      </c>
      <c r="Q273" s="12">
        <f t="shared" si="131"/>
        <v>174.19354838709677</v>
      </c>
      <c r="R273" s="12">
        <f t="shared" si="128"/>
        <v>53</v>
      </c>
      <c r="S273" s="21">
        <v>0</v>
      </c>
      <c r="T273" s="13">
        <v>0</v>
      </c>
      <c r="U273" s="13">
        <f t="shared" si="142"/>
        <v>227.19354838709677</v>
      </c>
      <c r="V273" s="13">
        <f t="shared" si="132"/>
        <v>2757.322580645161</v>
      </c>
      <c r="X273" s="13">
        <f t="shared" si="129"/>
        <v>2757.322580645161</v>
      </c>
      <c r="Y273" s="12">
        <f t="shared" si="137"/>
        <v>190.88709677419354</v>
      </c>
      <c r="Z273" s="12">
        <f t="shared" si="133"/>
        <v>142</v>
      </c>
      <c r="AA273" s="1">
        <f t="shared" si="144"/>
        <v>0</v>
      </c>
      <c r="AB273" s="16">
        <f t="shared" si="143"/>
        <v>332.88709677419354</v>
      </c>
      <c r="AC273" s="16">
        <f t="shared" si="134"/>
        <v>3317.4032258064512</v>
      </c>
    </row>
    <row r="274" spans="1:29" x14ac:dyDescent="0.2">
      <c r="A274" s="10" t="s">
        <v>826</v>
      </c>
      <c r="B274" s="11">
        <f t="shared" si="138"/>
        <v>269</v>
      </c>
      <c r="C274" s="11" t="s">
        <v>565</v>
      </c>
      <c r="D274" s="19" t="s">
        <v>50</v>
      </c>
      <c r="E274" s="11" t="s">
        <v>484</v>
      </c>
      <c r="F274" s="20">
        <v>42888</v>
      </c>
      <c r="G274" s="11">
        <v>11</v>
      </c>
      <c r="H274" s="13">
        <f t="shared" si="130"/>
        <v>1774.1935483870966</v>
      </c>
      <c r="I274" s="13">
        <f t="shared" si="135"/>
        <v>0</v>
      </c>
      <c r="J274" s="13">
        <f t="shared" si="136"/>
        <v>88.709677419354833</v>
      </c>
      <c r="L274" s="13">
        <f t="shared" si="139"/>
        <v>283.87096774193549</v>
      </c>
      <c r="N274" s="13">
        <f t="shared" si="140"/>
        <v>1500.9677419354837</v>
      </c>
      <c r="P274" s="13">
        <f t="shared" si="141"/>
        <v>3647.7419354838703</v>
      </c>
      <c r="Q274" s="12">
        <f t="shared" si="131"/>
        <v>212.90322580645159</v>
      </c>
      <c r="R274" s="12">
        <f t="shared" si="128"/>
        <v>64</v>
      </c>
      <c r="S274" s="21">
        <v>0</v>
      </c>
      <c r="T274" s="13">
        <v>0</v>
      </c>
      <c r="U274" s="13">
        <f t="shared" si="142"/>
        <v>276.90322580645159</v>
      </c>
      <c r="V274" s="13">
        <f t="shared" si="132"/>
        <v>3370.8387096774186</v>
      </c>
      <c r="X274" s="13">
        <f t="shared" si="129"/>
        <v>3370.8387096774186</v>
      </c>
      <c r="Y274" s="12">
        <f t="shared" si="137"/>
        <v>233.3064516129032</v>
      </c>
      <c r="Z274" s="12">
        <f t="shared" si="133"/>
        <v>174</v>
      </c>
      <c r="AA274" s="1">
        <f t="shared" si="144"/>
        <v>0</v>
      </c>
      <c r="AB274" s="16">
        <f t="shared" si="143"/>
        <v>407.30645161290317</v>
      </c>
      <c r="AC274" s="16">
        <f t="shared" si="134"/>
        <v>4055.0483870967737</v>
      </c>
    </row>
    <row r="275" spans="1:29" x14ac:dyDescent="0.2">
      <c r="A275" s="10" t="s">
        <v>827</v>
      </c>
      <c r="B275" s="11">
        <f t="shared" si="138"/>
        <v>270</v>
      </c>
      <c r="C275" s="11" t="s">
        <v>567</v>
      </c>
      <c r="D275" s="19" t="s">
        <v>50</v>
      </c>
      <c r="E275" s="11" t="s">
        <v>484</v>
      </c>
      <c r="F275" s="20">
        <v>42887</v>
      </c>
      <c r="G275" s="11">
        <v>25</v>
      </c>
      <c r="H275" s="13">
        <f t="shared" si="130"/>
        <v>4032.2580645161288</v>
      </c>
      <c r="I275" s="13">
        <f t="shared" si="135"/>
        <v>0</v>
      </c>
      <c r="J275" s="13">
        <f t="shared" si="136"/>
        <v>201.61290322580646</v>
      </c>
      <c r="L275" s="13">
        <f t="shared" si="139"/>
        <v>645.16129032258061</v>
      </c>
      <c r="N275" s="13">
        <f t="shared" si="140"/>
        <v>3411.2903225806449</v>
      </c>
      <c r="P275" s="13">
        <f t="shared" si="141"/>
        <v>8290.322580645161</v>
      </c>
      <c r="Q275" s="12">
        <f t="shared" si="131"/>
        <v>483.87096774193543</v>
      </c>
      <c r="R275" s="12">
        <f t="shared" si="128"/>
        <v>146</v>
      </c>
      <c r="S275" s="21">
        <v>0</v>
      </c>
      <c r="T275" s="13">
        <v>0</v>
      </c>
      <c r="U275" s="13">
        <f t="shared" si="142"/>
        <v>629.87096774193537</v>
      </c>
      <c r="V275" s="13">
        <f t="shared" si="132"/>
        <v>7660.4516129032254</v>
      </c>
      <c r="X275" s="13">
        <f t="shared" si="129"/>
        <v>7660.4516129032254</v>
      </c>
      <c r="Y275" s="12">
        <f t="shared" si="137"/>
        <v>530.24193548387098</v>
      </c>
      <c r="Z275" s="12">
        <f t="shared" si="133"/>
        <v>394</v>
      </c>
      <c r="AA275" s="1">
        <f t="shared" si="144"/>
        <v>0</v>
      </c>
      <c r="AB275" s="16">
        <f t="shared" si="143"/>
        <v>924.24193548387098</v>
      </c>
      <c r="AC275" s="16">
        <f t="shared" si="134"/>
        <v>9214.5645161290322</v>
      </c>
    </row>
    <row r="276" spans="1:29" x14ac:dyDescent="0.2">
      <c r="A276" s="10" t="s">
        <v>828</v>
      </c>
      <c r="B276" s="11">
        <f t="shared" si="138"/>
        <v>271</v>
      </c>
      <c r="C276" s="11" t="s">
        <v>706</v>
      </c>
      <c r="D276" s="19" t="s">
        <v>50</v>
      </c>
      <c r="E276" s="11" t="s">
        <v>484</v>
      </c>
      <c r="F276" s="20">
        <v>42891</v>
      </c>
      <c r="G276" s="11">
        <v>37</v>
      </c>
      <c r="H276" s="13">
        <f t="shared" si="130"/>
        <v>5967.7419354838703</v>
      </c>
      <c r="I276" s="13">
        <f t="shared" si="135"/>
        <v>0</v>
      </c>
      <c r="J276" s="13">
        <f t="shared" si="136"/>
        <v>298.38709677419354</v>
      </c>
      <c r="L276" s="13">
        <f t="shared" si="139"/>
        <v>954.83870967741927</v>
      </c>
      <c r="N276" s="13">
        <f t="shared" si="140"/>
        <v>5048.7096774193542</v>
      </c>
      <c r="P276" s="13">
        <f t="shared" si="141"/>
        <v>12269.677419354837</v>
      </c>
      <c r="Q276" s="12">
        <f t="shared" si="131"/>
        <v>716.1290322580644</v>
      </c>
      <c r="R276" s="12">
        <f t="shared" si="128"/>
        <v>215</v>
      </c>
      <c r="S276" s="21">
        <v>0</v>
      </c>
      <c r="T276" s="13">
        <v>0</v>
      </c>
      <c r="U276" s="13">
        <f t="shared" si="142"/>
        <v>931.1290322580644</v>
      </c>
      <c r="V276" s="13">
        <f t="shared" si="132"/>
        <v>11338.548387096773</v>
      </c>
      <c r="X276" s="13">
        <f t="shared" si="129"/>
        <v>11338.548387096773</v>
      </c>
      <c r="Y276" s="12">
        <f t="shared" si="137"/>
        <v>784.75806451612902</v>
      </c>
      <c r="Z276" s="12">
        <f t="shared" si="133"/>
        <v>583</v>
      </c>
      <c r="AA276" s="1">
        <f t="shared" si="144"/>
        <v>0</v>
      </c>
      <c r="AB276" s="16">
        <f t="shared" si="143"/>
        <v>1367.758064516129</v>
      </c>
      <c r="AC276" s="16">
        <f t="shared" si="134"/>
        <v>13637.435483870966</v>
      </c>
    </row>
    <row r="277" spans="1:29" x14ac:dyDescent="0.2">
      <c r="A277" s="10" t="s">
        <v>829</v>
      </c>
      <c r="B277" s="11">
        <f t="shared" si="138"/>
        <v>272</v>
      </c>
      <c r="C277" s="11" t="s">
        <v>569</v>
      </c>
      <c r="D277" s="19" t="s">
        <v>50</v>
      </c>
      <c r="E277" s="11" t="s">
        <v>484</v>
      </c>
      <c r="F277" s="20">
        <v>42892</v>
      </c>
      <c r="G277" s="11">
        <v>24</v>
      </c>
      <c r="H277" s="13">
        <f t="shared" si="130"/>
        <v>3870.9677419354839</v>
      </c>
      <c r="I277" s="13">
        <f t="shared" si="135"/>
        <v>0</v>
      </c>
      <c r="J277" s="13">
        <f t="shared" si="136"/>
        <v>193.54838709677421</v>
      </c>
      <c r="L277" s="13">
        <f t="shared" si="139"/>
        <v>619.35483870967732</v>
      </c>
      <c r="N277" s="13">
        <f t="shared" si="140"/>
        <v>3274.838709677419</v>
      </c>
      <c r="P277" s="13">
        <f t="shared" si="141"/>
        <v>7958.7096774193542</v>
      </c>
      <c r="Q277" s="12">
        <f t="shared" si="131"/>
        <v>464.51612903225805</v>
      </c>
      <c r="R277" s="12">
        <f t="shared" si="128"/>
        <v>140</v>
      </c>
      <c r="S277" s="21">
        <v>0</v>
      </c>
      <c r="T277" s="13">
        <v>0</v>
      </c>
      <c r="U277" s="13">
        <f t="shared" si="142"/>
        <v>604.51612903225805</v>
      </c>
      <c r="V277" s="13">
        <f t="shared" si="132"/>
        <v>7354.1935483870966</v>
      </c>
      <c r="X277" s="13">
        <f t="shared" si="129"/>
        <v>7354.1935483870966</v>
      </c>
      <c r="Y277" s="12">
        <f t="shared" si="137"/>
        <v>509.03225806451616</v>
      </c>
      <c r="Z277" s="12">
        <f t="shared" si="133"/>
        <v>379</v>
      </c>
      <c r="AA277" s="1">
        <f t="shared" si="144"/>
        <v>0</v>
      </c>
      <c r="AB277" s="16">
        <f t="shared" si="143"/>
        <v>888.0322580645161</v>
      </c>
      <c r="AC277" s="16">
        <f t="shared" si="134"/>
        <v>8846.7419354838712</v>
      </c>
    </row>
    <row r="278" spans="1:29" x14ac:dyDescent="0.2">
      <c r="A278" s="10" t="s">
        <v>830</v>
      </c>
      <c r="B278" s="11">
        <f t="shared" si="138"/>
        <v>273</v>
      </c>
      <c r="C278" s="11" t="s">
        <v>702</v>
      </c>
      <c r="D278" s="19" t="s">
        <v>50</v>
      </c>
      <c r="E278" s="11" t="s">
        <v>237</v>
      </c>
      <c r="F278" s="20">
        <v>42907</v>
      </c>
      <c r="G278" s="11">
        <v>19</v>
      </c>
      <c r="H278" s="13">
        <f t="shared" si="130"/>
        <v>3064.516129032258</v>
      </c>
      <c r="I278" s="13">
        <f t="shared" si="135"/>
        <v>0</v>
      </c>
      <c r="J278" s="13">
        <f t="shared" si="136"/>
        <v>153.2258064516129</v>
      </c>
      <c r="L278" s="13">
        <f t="shared" si="139"/>
        <v>490.32258064516128</v>
      </c>
      <c r="N278" s="13">
        <f>((1950+1441-178+1017+1527+0)/G$3)*G278</f>
        <v>3528.483870967742</v>
      </c>
      <c r="P278" s="13">
        <f t="shared" si="141"/>
        <v>7236.5483870967746</v>
      </c>
      <c r="Q278" s="12">
        <f t="shared" si="131"/>
        <v>367.74193548387098</v>
      </c>
      <c r="R278" s="12">
        <f t="shared" si="128"/>
        <v>127</v>
      </c>
      <c r="S278" s="21">
        <v>0</v>
      </c>
      <c r="T278" s="13">
        <v>0</v>
      </c>
      <c r="U278" s="13">
        <f t="shared" si="142"/>
        <v>494.74193548387098</v>
      </c>
      <c r="V278" s="13">
        <f t="shared" si="132"/>
        <v>6741.8064516129034</v>
      </c>
      <c r="X278" s="13">
        <f t="shared" si="129"/>
        <v>6741.8064516129034</v>
      </c>
      <c r="Y278" s="12">
        <f t="shared" si="137"/>
        <v>402.98387096774195</v>
      </c>
      <c r="Z278" s="12">
        <f t="shared" si="133"/>
        <v>344</v>
      </c>
      <c r="AA278" s="1">
        <f t="shared" si="144"/>
        <v>0</v>
      </c>
      <c r="AB278" s="16">
        <f t="shared" si="143"/>
        <v>746.98387096774195</v>
      </c>
      <c r="AC278" s="16">
        <f t="shared" si="134"/>
        <v>7983.532258064517</v>
      </c>
    </row>
    <row r="279" spans="1:29" x14ac:dyDescent="0.2">
      <c r="A279" s="10" t="s">
        <v>586</v>
      </c>
      <c r="B279" s="11">
        <f t="shared" si="138"/>
        <v>274</v>
      </c>
      <c r="C279" s="11" t="s">
        <v>573</v>
      </c>
      <c r="D279" s="19" t="s">
        <v>50</v>
      </c>
      <c r="E279" s="11" t="s">
        <v>237</v>
      </c>
      <c r="F279" s="20">
        <v>42738</v>
      </c>
      <c r="G279" s="11">
        <v>33</v>
      </c>
      <c r="H279" s="13">
        <f t="shared" si="130"/>
        <v>5322.5806451612898</v>
      </c>
      <c r="I279" s="13">
        <f t="shared" si="135"/>
        <v>0</v>
      </c>
      <c r="J279" s="13">
        <f t="shared" si="136"/>
        <v>266.12903225806451</v>
      </c>
      <c r="L279" s="13">
        <f t="shared" si="139"/>
        <v>851.61290322580635</v>
      </c>
      <c r="N279" s="13">
        <f>((1950+1441-178+1017+1527+0)/G$3)*G279</f>
        <v>6128.4193548387102</v>
      </c>
      <c r="P279" s="13">
        <f t="shared" si="141"/>
        <v>12568.741935483871</v>
      </c>
      <c r="Q279" s="12">
        <f t="shared" si="131"/>
        <v>638.70967741935476</v>
      </c>
      <c r="R279" s="12">
        <f t="shared" si="128"/>
        <v>220</v>
      </c>
      <c r="S279" s="21">
        <v>0</v>
      </c>
      <c r="T279" s="13">
        <v>0</v>
      </c>
      <c r="U279" s="13">
        <f t="shared" si="142"/>
        <v>858.70967741935476</v>
      </c>
      <c r="V279" s="13">
        <f t="shared" si="132"/>
        <v>11710.032258064517</v>
      </c>
      <c r="X279" s="13">
        <f t="shared" si="129"/>
        <v>11710.032258064517</v>
      </c>
      <c r="Y279" s="12">
        <f t="shared" si="137"/>
        <v>699.91935483870964</v>
      </c>
      <c r="Z279" s="12">
        <f t="shared" si="133"/>
        <v>598</v>
      </c>
      <c r="AA279" s="1">
        <f t="shared" si="144"/>
        <v>0</v>
      </c>
      <c r="AB279" s="16">
        <f t="shared" si="143"/>
        <v>1297.9193548387098</v>
      </c>
      <c r="AC279" s="16">
        <f t="shared" si="134"/>
        <v>13866.661290322581</v>
      </c>
    </row>
    <row r="280" spans="1:29" x14ac:dyDescent="0.2">
      <c r="A280" s="10" t="s">
        <v>831</v>
      </c>
      <c r="B280" s="11">
        <f t="shared" si="138"/>
        <v>275</v>
      </c>
      <c r="C280" s="11" t="s">
        <v>578</v>
      </c>
      <c r="D280" s="19" t="s">
        <v>50</v>
      </c>
      <c r="E280" s="11" t="s">
        <v>232</v>
      </c>
      <c r="F280" s="20">
        <v>42896</v>
      </c>
      <c r="G280" s="11">
        <v>32</v>
      </c>
      <c r="H280" s="13">
        <f t="shared" si="130"/>
        <v>5161.2903225806449</v>
      </c>
      <c r="I280" s="13">
        <f t="shared" si="135"/>
        <v>0</v>
      </c>
      <c r="J280" s="13">
        <f t="shared" si="136"/>
        <v>258.06451612903226</v>
      </c>
      <c r="L280" s="13">
        <f t="shared" si="139"/>
        <v>825.80645161290317</v>
      </c>
      <c r="N280" s="13">
        <f>((1950+1441-178+1017+1018+0)/G$3)*G280</f>
        <v>5417.2903225806449</v>
      </c>
      <c r="P280" s="13">
        <f t="shared" si="141"/>
        <v>11662.451612903225</v>
      </c>
      <c r="Q280" s="12">
        <f t="shared" si="131"/>
        <v>619.35483870967732</v>
      </c>
      <c r="R280" s="12">
        <f t="shared" si="128"/>
        <v>205</v>
      </c>
      <c r="S280" s="21">
        <v>0</v>
      </c>
      <c r="T280" s="13">
        <v>0</v>
      </c>
      <c r="U280" s="13">
        <f t="shared" si="142"/>
        <v>824.35483870967732</v>
      </c>
      <c r="V280" s="13">
        <f t="shared" si="132"/>
        <v>10838.096774193547</v>
      </c>
      <c r="X280" s="13">
        <f t="shared" si="129"/>
        <v>10838.096774193547</v>
      </c>
      <c r="Y280" s="12">
        <f t="shared" si="137"/>
        <v>678.70967741935488</v>
      </c>
      <c r="Z280" s="12">
        <f t="shared" si="133"/>
        <v>554</v>
      </c>
      <c r="AA280" s="1">
        <f t="shared" si="144"/>
        <v>0</v>
      </c>
      <c r="AB280" s="16">
        <f t="shared" si="143"/>
        <v>1232.7096774193549</v>
      </c>
      <c r="AC280" s="16">
        <f t="shared" si="134"/>
        <v>12895.16129032258</v>
      </c>
    </row>
    <row r="281" spans="1:29" x14ac:dyDescent="0.2">
      <c r="A281" s="10" t="s">
        <v>587</v>
      </c>
      <c r="B281" s="11">
        <f t="shared" si="138"/>
        <v>276</v>
      </c>
      <c r="C281" s="11" t="s">
        <v>263</v>
      </c>
      <c r="D281" s="19" t="s">
        <v>50</v>
      </c>
      <c r="E281" s="11" t="s">
        <v>234</v>
      </c>
      <c r="F281" s="20">
        <v>42871</v>
      </c>
      <c r="G281" s="11">
        <v>2</v>
      </c>
      <c r="H281" s="13">
        <f t="shared" si="130"/>
        <v>322.58064516129031</v>
      </c>
      <c r="I281" s="13">
        <f t="shared" si="135"/>
        <v>0</v>
      </c>
      <c r="J281" s="13">
        <f t="shared" si="136"/>
        <v>16.129032258064516</v>
      </c>
      <c r="L281" s="13">
        <f t="shared" si="139"/>
        <v>51.612903225806448</v>
      </c>
      <c r="N281" s="13">
        <f>((1950+1441-178+1017+0)/G$3)*G281</f>
        <v>272.90322580645159</v>
      </c>
      <c r="P281" s="13">
        <f t="shared" si="141"/>
        <v>663.22580645161293</v>
      </c>
      <c r="Q281" s="12">
        <f t="shared" si="131"/>
        <v>38.709677419354833</v>
      </c>
      <c r="R281" s="12">
        <f t="shared" si="128"/>
        <v>12</v>
      </c>
      <c r="S281" s="21">
        <v>0</v>
      </c>
      <c r="T281" s="13">
        <v>0</v>
      </c>
      <c r="U281" s="13">
        <f t="shared" si="142"/>
        <v>50.709677419354833</v>
      </c>
      <c r="V281" s="13">
        <f t="shared" si="132"/>
        <v>612.51612903225805</v>
      </c>
      <c r="X281" s="13">
        <f t="shared" si="129"/>
        <v>612.51612903225805</v>
      </c>
      <c r="Y281" s="12">
        <f t="shared" si="137"/>
        <v>42.41935483870968</v>
      </c>
      <c r="Z281" s="12">
        <f t="shared" si="133"/>
        <v>32</v>
      </c>
      <c r="AA281" s="1">
        <f t="shared" si="144"/>
        <v>0</v>
      </c>
      <c r="AB281" s="16">
        <f t="shared" si="143"/>
        <v>74.41935483870968</v>
      </c>
      <c r="AC281" s="16">
        <f t="shared" si="134"/>
        <v>737.64516129032256</v>
      </c>
    </row>
    <row r="282" spans="1:29" x14ac:dyDescent="0.2">
      <c r="A282" s="10" t="s">
        <v>353</v>
      </c>
      <c r="B282" s="11">
        <f t="shared" si="138"/>
        <v>277</v>
      </c>
      <c r="C282" s="11" t="s">
        <v>579</v>
      </c>
      <c r="D282" s="19" t="s">
        <v>50</v>
      </c>
      <c r="E282" s="11" t="s">
        <v>239</v>
      </c>
      <c r="F282" s="20">
        <v>42854</v>
      </c>
      <c r="G282" s="11">
        <v>37</v>
      </c>
      <c r="H282" s="13">
        <f t="shared" si="130"/>
        <v>5967.7419354838703</v>
      </c>
      <c r="I282" s="13">
        <f t="shared" si="135"/>
        <v>0</v>
      </c>
      <c r="J282" s="13">
        <f t="shared" si="136"/>
        <v>298.38709677419354</v>
      </c>
      <c r="L282" s="13">
        <f t="shared" si="139"/>
        <v>954.83870967741927</v>
      </c>
      <c r="N282" s="13">
        <f>((1950+1441-178+1017+1018+0)/G$3)*G282</f>
        <v>6263.7419354838703</v>
      </c>
      <c r="P282" s="13">
        <f t="shared" si="141"/>
        <v>13484.709677419352</v>
      </c>
      <c r="Q282" s="12">
        <f t="shared" si="131"/>
        <v>716.1290322580644</v>
      </c>
      <c r="R282" s="12">
        <f t="shared" si="128"/>
        <v>236</v>
      </c>
      <c r="S282" s="21">
        <v>0</v>
      </c>
      <c r="T282" s="13">
        <v>0</v>
      </c>
      <c r="U282" s="13">
        <f t="shared" si="142"/>
        <v>952.1290322580644</v>
      </c>
      <c r="V282" s="13">
        <f t="shared" si="132"/>
        <v>12532.580645161288</v>
      </c>
      <c r="X282" s="13">
        <f t="shared" si="129"/>
        <v>12532.580645161288</v>
      </c>
      <c r="Y282" s="12">
        <f t="shared" si="137"/>
        <v>784.75806451612902</v>
      </c>
      <c r="Z282" s="12">
        <f t="shared" si="133"/>
        <v>641</v>
      </c>
      <c r="AA282" s="1">
        <f t="shared" si="144"/>
        <v>0</v>
      </c>
      <c r="AB282" s="16">
        <f t="shared" si="143"/>
        <v>1425.758064516129</v>
      </c>
      <c r="AC282" s="16">
        <f t="shared" si="134"/>
        <v>14910.467741935481</v>
      </c>
    </row>
    <row r="283" spans="1:29" x14ac:dyDescent="0.2">
      <c r="A283" s="10" t="s">
        <v>832</v>
      </c>
      <c r="B283" s="11">
        <f t="shared" si="138"/>
        <v>278</v>
      </c>
      <c r="C283" s="11" t="s">
        <v>403</v>
      </c>
      <c r="D283" s="19" t="s">
        <v>50</v>
      </c>
      <c r="E283" s="11" t="s">
        <v>241</v>
      </c>
      <c r="F283" s="20">
        <v>42898</v>
      </c>
      <c r="G283" s="11">
        <v>33</v>
      </c>
      <c r="H283" s="13">
        <f t="shared" si="130"/>
        <v>5322.5806451612898</v>
      </c>
      <c r="I283" s="13">
        <f t="shared" si="135"/>
        <v>0</v>
      </c>
      <c r="J283" s="13">
        <f t="shared" si="136"/>
        <v>266.12903225806451</v>
      </c>
      <c r="L283" s="13">
        <f t="shared" si="139"/>
        <v>851.61290322580635</v>
      </c>
      <c r="N283" s="13">
        <f t="shared" ref="N283:N336" si="145">((1950+1441-178+1017+0)/G$3)*G283</f>
        <v>4502.9032258064508</v>
      </c>
      <c r="P283" s="13">
        <f t="shared" si="141"/>
        <v>10943.225806451612</v>
      </c>
      <c r="Q283" s="12">
        <f t="shared" si="131"/>
        <v>638.70967741935476</v>
      </c>
      <c r="R283" s="12">
        <f t="shared" si="128"/>
        <v>192</v>
      </c>
      <c r="S283" s="21">
        <v>0</v>
      </c>
      <c r="T283" s="13">
        <v>0</v>
      </c>
      <c r="U283" s="13">
        <f t="shared" si="142"/>
        <v>830.70967741935476</v>
      </c>
      <c r="V283" s="13">
        <f t="shared" si="132"/>
        <v>10112.516129032258</v>
      </c>
      <c r="X283" s="13">
        <f t="shared" si="129"/>
        <v>10112.516129032258</v>
      </c>
      <c r="Y283" s="12">
        <f t="shared" si="137"/>
        <v>699.91935483870964</v>
      </c>
      <c r="Z283" s="12">
        <f t="shared" si="133"/>
        <v>520</v>
      </c>
      <c r="AA283" s="1">
        <f t="shared" si="144"/>
        <v>0</v>
      </c>
      <c r="AB283" s="16">
        <f t="shared" si="143"/>
        <v>1219.9193548387098</v>
      </c>
      <c r="AC283" s="16">
        <f t="shared" si="134"/>
        <v>12163.145161290322</v>
      </c>
    </row>
    <row r="284" spans="1:29" x14ac:dyDescent="0.2">
      <c r="A284" s="10" t="s">
        <v>855</v>
      </c>
      <c r="B284" s="11">
        <f t="shared" si="138"/>
        <v>279</v>
      </c>
      <c r="C284" s="11" t="s">
        <v>713</v>
      </c>
      <c r="D284" s="19" t="s">
        <v>50</v>
      </c>
      <c r="E284" s="11" t="s">
        <v>707</v>
      </c>
      <c r="F284" s="20">
        <v>42917</v>
      </c>
      <c r="G284" s="11">
        <v>37</v>
      </c>
      <c r="H284" s="13">
        <f t="shared" si="130"/>
        <v>5967.7419354838703</v>
      </c>
      <c r="I284" s="13">
        <f t="shared" si="135"/>
        <v>0</v>
      </c>
      <c r="J284" s="13">
        <f t="shared" si="136"/>
        <v>298.38709677419354</v>
      </c>
      <c r="L284" s="13">
        <f t="shared" si="139"/>
        <v>954.83870967741927</v>
      </c>
      <c r="N284" s="13">
        <f t="shared" si="145"/>
        <v>5048.7096774193542</v>
      </c>
      <c r="P284" s="13">
        <f t="shared" si="141"/>
        <v>12269.677419354837</v>
      </c>
      <c r="Q284" s="12">
        <f t="shared" si="131"/>
        <v>716.1290322580644</v>
      </c>
      <c r="R284" s="12">
        <f t="shared" si="128"/>
        <v>215</v>
      </c>
      <c r="S284" s="21">
        <v>0</v>
      </c>
      <c r="T284" s="13">
        <v>0</v>
      </c>
      <c r="U284" s="13">
        <f t="shared" si="142"/>
        <v>931.1290322580644</v>
      </c>
      <c r="V284" s="13">
        <f t="shared" si="132"/>
        <v>11338.548387096773</v>
      </c>
      <c r="X284" s="13">
        <f t="shared" si="129"/>
        <v>11338.548387096773</v>
      </c>
      <c r="Y284" s="12">
        <f t="shared" si="137"/>
        <v>784.75806451612902</v>
      </c>
      <c r="Z284" s="12">
        <f t="shared" si="133"/>
        <v>583</v>
      </c>
      <c r="AA284" s="1">
        <f t="shared" si="144"/>
        <v>0</v>
      </c>
      <c r="AB284" s="16">
        <f t="shared" si="143"/>
        <v>1367.758064516129</v>
      </c>
      <c r="AC284" s="16">
        <f t="shared" si="134"/>
        <v>13637.435483870966</v>
      </c>
    </row>
    <row r="285" spans="1:29" x14ac:dyDescent="0.2">
      <c r="A285" s="10" t="s">
        <v>856</v>
      </c>
      <c r="B285" s="11">
        <f t="shared" si="138"/>
        <v>280</v>
      </c>
      <c r="C285" s="11" t="s">
        <v>370</v>
      </c>
      <c r="D285" s="19" t="s">
        <v>50</v>
      </c>
      <c r="E285" s="11" t="s">
        <v>484</v>
      </c>
      <c r="F285" s="20">
        <v>42575</v>
      </c>
      <c r="G285" s="11">
        <v>34</v>
      </c>
      <c r="H285" s="13">
        <f t="shared" si="130"/>
        <v>5483.8709677419356</v>
      </c>
      <c r="I285" s="13">
        <f t="shared" si="135"/>
        <v>0</v>
      </c>
      <c r="J285" s="13">
        <f t="shared" si="136"/>
        <v>274.19354838709677</v>
      </c>
      <c r="L285" s="13">
        <f t="shared" si="139"/>
        <v>877.41935483870964</v>
      </c>
      <c r="N285" s="13">
        <f t="shared" si="145"/>
        <v>4639.3548387096771</v>
      </c>
      <c r="P285" s="13">
        <f t="shared" si="141"/>
        <v>11274.838709677419</v>
      </c>
      <c r="Q285" s="12">
        <f t="shared" si="131"/>
        <v>658.0645161290322</v>
      </c>
      <c r="R285" s="12">
        <f t="shared" si="128"/>
        <v>198</v>
      </c>
      <c r="S285" s="21">
        <v>0</v>
      </c>
      <c r="T285" s="13">
        <v>0</v>
      </c>
      <c r="U285" s="13">
        <f t="shared" si="142"/>
        <v>856.0645161290322</v>
      </c>
      <c r="V285" s="13">
        <f t="shared" si="132"/>
        <v>10418.774193548386</v>
      </c>
      <c r="X285" s="13">
        <f t="shared" si="129"/>
        <v>10418.774193548386</v>
      </c>
      <c r="Y285" s="12">
        <f t="shared" si="137"/>
        <v>721.12903225806451</v>
      </c>
      <c r="Z285" s="12">
        <f t="shared" si="133"/>
        <v>536</v>
      </c>
      <c r="AA285" s="1">
        <f t="shared" si="144"/>
        <v>0</v>
      </c>
      <c r="AB285" s="16">
        <f t="shared" si="143"/>
        <v>1257.1290322580644</v>
      </c>
      <c r="AC285" s="16">
        <f t="shared" si="134"/>
        <v>12531.967741935483</v>
      </c>
    </row>
    <row r="286" spans="1:29" x14ac:dyDescent="0.2">
      <c r="A286" s="10" t="s">
        <v>857</v>
      </c>
      <c r="B286" s="11">
        <f t="shared" si="138"/>
        <v>281</v>
      </c>
      <c r="C286" s="11" t="s">
        <v>714</v>
      </c>
      <c r="D286" s="19" t="s">
        <v>50</v>
      </c>
      <c r="E286" s="11" t="s">
        <v>484</v>
      </c>
      <c r="F286" s="20">
        <v>42600</v>
      </c>
      <c r="G286" s="11">
        <v>32</v>
      </c>
      <c r="H286" s="13">
        <f t="shared" si="130"/>
        <v>5161.2903225806449</v>
      </c>
      <c r="I286" s="13">
        <f t="shared" si="135"/>
        <v>0</v>
      </c>
      <c r="J286" s="13">
        <f t="shared" si="136"/>
        <v>258.06451612903226</v>
      </c>
      <c r="L286" s="13">
        <f t="shared" si="139"/>
        <v>825.80645161290317</v>
      </c>
      <c r="N286" s="13">
        <f t="shared" si="145"/>
        <v>4366.4516129032254</v>
      </c>
      <c r="P286" s="13">
        <f t="shared" si="141"/>
        <v>10611.612903225807</v>
      </c>
      <c r="Q286" s="12">
        <f t="shared" si="131"/>
        <v>619.35483870967732</v>
      </c>
      <c r="R286" s="12">
        <f t="shared" si="128"/>
        <v>186</v>
      </c>
      <c r="S286" s="21">
        <v>0</v>
      </c>
      <c r="T286" s="13">
        <v>0</v>
      </c>
      <c r="U286" s="13">
        <f t="shared" si="142"/>
        <v>805.35483870967732</v>
      </c>
      <c r="V286" s="13">
        <f t="shared" si="132"/>
        <v>9806.2580645161288</v>
      </c>
      <c r="X286" s="13">
        <f t="shared" si="129"/>
        <v>9806.2580645161288</v>
      </c>
      <c r="Y286" s="12">
        <f t="shared" si="137"/>
        <v>678.70967741935488</v>
      </c>
      <c r="Z286" s="12">
        <f t="shared" si="133"/>
        <v>505</v>
      </c>
      <c r="AA286" s="1">
        <f t="shared" si="144"/>
        <v>0</v>
      </c>
      <c r="AB286" s="16">
        <f t="shared" si="143"/>
        <v>1183.7096774193549</v>
      </c>
      <c r="AC286" s="16">
        <f t="shared" si="134"/>
        <v>11795.322580645161</v>
      </c>
    </row>
    <row r="287" spans="1:29" x14ac:dyDescent="0.2">
      <c r="A287" s="10" t="s">
        <v>858</v>
      </c>
      <c r="B287" s="11">
        <f t="shared" si="138"/>
        <v>282</v>
      </c>
      <c r="C287" s="11" t="s">
        <v>715</v>
      </c>
      <c r="D287" s="19" t="s">
        <v>50</v>
      </c>
      <c r="E287" s="11" t="s">
        <v>484</v>
      </c>
      <c r="F287" s="20">
        <v>42934</v>
      </c>
      <c r="G287" s="11">
        <v>32</v>
      </c>
      <c r="H287" s="13">
        <f t="shared" si="130"/>
        <v>5161.2903225806449</v>
      </c>
      <c r="I287" s="13">
        <f t="shared" si="135"/>
        <v>0</v>
      </c>
      <c r="J287" s="13">
        <f t="shared" si="136"/>
        <v>258.06451612903226</v>
      </c>
      <c r="L287" s="13">
        <f t="shared" si="139"/>
        <v>825.80645161290317</v>
      </c>
      <c r="N287" s="13">
        <f t="shared" si="145"/>
        <v>4366.4516129032254</v>
      </c>
      <c r="P287" s="13">
        <f t="shared" si="141"/>
        <v>10611.612903225807</v>
      </c>
      <c r="Q287" s="12">
        <f t="shared" si="131"/>
        <v>619.35483870967732</v>
      </c>
      <c r="R287" s="12">
        <f t="shared" si="128"/>
        <v>186</v>
      </c>
      <c r="S287" s="21">
        <v>0</v>
      </c>
      <c r="T287" s="13">
        <v>0</v>
      </c>
      <c r="U287" s="13">
        <f t="shared" si="142"/>
        <v>805.35483870967732</v>
      </c>
      <c r="V287" s="13">
        <f t="shared" si="132"/>
        <v>9806.2580645161288</v>
      </c>
      <c r="X287" s="13">
        <f t="shared" si="129"/>
        <v>9806.2580645161288</v>
      </c>
      <c r="Y287" s="12">
        <f t="shared" si="137"/>
        <v>678.70967741935488</v>
      </c>
      <c r="Z287" s="12">
        <f t="shared" si="133"/>
        <v>505</v>
      </c>
      <c r="AA287" s="1">
        <f t="shared" si="144"/>
        <v>0</v>
      </c>
      <c r="AB287" s="16">
        <f t="shared" si="143"/>
        <v>1183.7096774193549</v>
      </c>
      <c r="AC287" s="16">
        <f t="shared" si="134"/>
        <v>11795.322580645161</v>
      </c>
    </row>
    <row r="288" spans="1:29" x14ac:dyDescent="0.2">
      <c r="A288" s="10" t="s">
        <v>859</v>
      </c>
      <c r="B288" s="11">
        <f t="shared" si="138"/>
        <v>283</v>
      </c>
      <c r="C288" s="11" t="s">
        <v>716</v>
      </c>
      <c r="D288" s="19" t="s">
        <v>50</v>
      </c>
      <c r="E288" s="11" t="s">
        <v>484</v>
      </c>
      <c r="F288" s="20">
        <v>42936</v>
      </c>
      <c r="G288" s="11">
        <v>32</v>
      </c>
      <c r="H288" s="13">
        <f t="shared" si="130"/>
        <v>5161.2903225806449</v>
      </c>
      <c r="I288" s="13">
        <f t="shared" si="135"/>
        <v>0</v>
      </c>
      <c r="J288" s="13">
        <f t="shared" si="136"/>
        <v>258.06451612903226</v>
      </c>
      <c r="L288" s="13">
        <f t="shared" si="139"/>
        <v>825.80645161290317</v>
      </c>
      <c r="N288" s="13">
        <f t="shared" si="145"/>
        <v>4366.4516129032254</v>
      </c>
      <c r="P288" s="13">
        <f t="shared" si="141"/>
        <v>10611.612903225807</v>
      </c>
      <c r="Q288" s="12">
        <f t="shared" si="131"/>
        <v>619.35483870967732</v>
      </c>
      <c r="R288" s="12">
        <f t="shared" si="128"/>
        <v>186</v>
      </c>
      <c r="S288" s="21">
        <v>0</v>
      </c>
      <c r="T288" s="13">
        <v>0</v>
      </c>
      <c r="U288" s="13">
        <f t="shared" si="142"/>
        <v>805.35483870967732</v>
      </c>
      <c r="V288" s="13">
        <f t="shared" si="132"/>
        <v>9806.2580645161288</v>
      </c>
      <c r="X288" s="13">
        <f t="shared" si="129"/>
        <v>9806.2580645161288</v>
      </c>
      <c r="Y288" s="12">
        <f t="shared" si="137"/>
        <v>678.70967741935488</v>
      </c>
      <c r="Z288" s="12">
        <f t="shared" si="133"/>
        <v>505</v>
      </c>
      <c r="AA288" s="1">
        <f t="shared" si="144"/>
        <v>0</v>
      </c>
      <c r="AB288" s="16">
        <f t="shared" si="143"/>
        <v>1183.7096774193549</v>
      </c>
      <c r="AC288" s="16">
        <f t="shared" si="134"/>
        <v>11795.322580645161</v>
      </c>
    </row>
    <row r="289" spans="1:29" x14ac:dyDescent="0.2">
      <c r="A289" s="10" t="s">
        <v>860</v>
      </c>
      <c r="B289" s="11">
        <f t="shared" si="138"/>
        <v>284</v>
      </c>
      <c r="C289" s="11" t="s">
        <v>717</v>
      </c>
      <c r="D289" s="19" t="s">
        <v>50</v>
      </c>
      <c r="E289" s="11" t="s">
        <v>484</v>
      </c>
      <c r="F289" s="20">
        <v>42944</v>
      </c>
      <c r="G289" s="11">
        <v>30</v>
      </c>
      <c r="H289" s="13">
        <f t="shared" si="130"/>
        <v>4838.7096774193542</v>
      </c>
      <c r="I289" s="13">
        <f t="shared" si="135"/>
        <v>0</v>
      </c>
      <c r="J289" s="13">
        <f t="shared" si="136"/>
        <v>241.93548387096772</v>
      </c>
      <c r="L289" s="13">
        <f t="shared" si="139"/>
        <v>774.19354838709671</v>
      </c>
      <c r="N289" s="13">
        <f t="shared" si="145"/>
        <v>4093.5483870967737</v>
      </c>
      <c r="P289" s="13">
        <f t="shared" si="141"/>
        <v>9948.3870967741932</v>
      </c>
      <c r="Q289" s="12">
        <f t="shared" si="131"/>
        <v>580.64516129032245</v>
      </c>
      <c r="R289" s="12">
        <f t="shared" si="128"/>
        <v>175</v>
      </c>
      <c r="S289" s="21">
        <v>0</v>
      </c>
      <c r="T289" s="13">
        <v>0</v>
      </c>
      <c r="U289" s="13">
        <f t="shared" si="142"/>
        <v>755.64516129032245</v>
      </c>
      <c r="V289" s="13">
        <f t="shared" si="132"/>
        <v>9192.7419354838712</v>
      </c>
      <c r="X289" s="13">
        <f t="shared" si="129"/>
        <v>9192.7419354838712</v>
      </c>
      <c r="Y289" s="12">
        <f t="shared" si="137"/>
        <v>636.29032258064512</v>
      </c>
      <c r="Z289" s="12">
        <f t="shared" si="133"/>
        <v>473</v>
      </c>
      <c r="AA289" s="1">
        <f t="shared" si="144"/>
        <v>0</v>
      </c>
      <c r="AB289" s="16">
        <f t="shared" si="143"/>
        <v>1109.2903225806451</v>
      </c>
      <c r="AC289" s="16">
        <f t="shared" si="134"/>
        <v>11057.677419354839</v>
      </c>
    </row>
    <row r="290" spans="1:29" x14ac:dyDescent="0.2">
      <c r="A290" s="10" t="s">
        <v>861</v>
      </c>
      <c r="B290" s="11">
        <f t="shared" si="138"/>
        <v>285</v>
      </c>
      <c r="C290" s="11" t="s">
        <v>718</v>
      </c>
      <c r="D290" s="19" t="s">
        <v>50</v>
      </c>
      <c r="E290" s="11" t="s">
        <v>484</v>
      </c>
      <c r="F290" s="20">
        <v>42946</v>
      </c>
      <c r="G290" s="11">
        <v>37</v>
      </c>
      <c r="H290" s="13">
        <f t="shared" si="130"/>
        <v>5967.7419354838703</v>
      </c>
      <c r="I290" s="13">
        <f t="shared" si="135"/>
        <v>0</v>
      </c>
      <c r="J290" s="13">
        <f t="shared" si="136"/>
        <v>298.38709677419354</v>
      </c>
      <c r="L290" s="13">
        <f t="shared" si="139"/>
        <v>954.83870967741927</v>
      </c>
      <c r="N290" s="13">
        <f t="shared" si="145"/>
        <v>5048.7096774193542</v>
      </c>
      <c r="P290" s="13">
        <f t="shared" si="141"/>
        <v>12269.677419354837</v>
      </c>
      <c r="Q290" s="12">
        <f t="shared" si="131"/>
        <v>716.1290322580644</v>
      </c>
      <c r="R290" s="12">
        <f t="shared" si="128"/>
        <v>215</v>
      </c>
      <c r="S290" s="21">
        <v>0</v>
      </c>
      <c r="T290" s="13">
        <v>0</v>
      </c>
      <c r="U290" s="13">
        <f t="shared" si="142"/>
        <v>931.1290322580644</v>
      </c>
      <c r="V290" s="13">
        <f t="shared" si="132"/>
        <v>11338.548387096773</v>
      </c>
      <c r="X290" s="13">
        <f t="shared" si="129"/>
        <v>11338.548387096773</v>
      </c>
      <c r="Y290" s="12">
        <f t="shared" si="137"/>
        <v>784.75806451612902</v>
      </c>
      <c r="Z290" s="12">
        <f t="shared" si="133"/>
        <v>583</v>
      </c>
      <c r="AA290" s="1">
        <f t="shared" si="144"/>
        <v>0</v>
      </c>
      <c r="AB290" s="16">
        <f t="shared" si="143"/>
        <v>1367.758064516129</v>
      </c>
      <c r="AC290" s="16">
        <f t="shared" si="134"/>
        <v>13637.435483870966</v>
      </c>
    </row>
    <row r="291" spans="1:29" x14ac:dyDescent="0.2">
      <c r="A291" s="10" t="s">
        <v>862</v>
      </c>
      <c r="B291" s="11">
        <f t="shared" si="138"/>
        <v>286</v>
      </c>
      <c r="C291" s="11" t="s">
        <v>719</v>
      </c>
      <c r="D291" s="19" t="s">
        <v>50</v>
      </c>
      <c r="E291" s="11" t="s">
        <v>234</v>
      </c>
      <c r="F291" s="20">
        <v>42795</v>
      </c>
      <c r="G291" s="11">
        <v>33</v>
      </c>
      <c r="H291" s="13">
        <f t="shared" si="130"/>
        <v>5322.5806451612898</v>
      </c>
      <c r="I291" s="13">
        <f t="shared" si="135"/>
        <v>0</v>
      </c>
      <c r="J291" s="13">
        <f t="shared" si="136"/>
        <v>266.12903225806451</v>
      </c>
      <c r="L291" s="13">
        <f t="shared" si="139"/>
        <v>851.61290322580635</v>
      </c>
      <c r="N291" s="13">
        <f t="shared" ref="N291:N328" si="146">((1950+1441-178+1017+1018)/G$3)*G291</f>
        <v>5586.5806451612898</v>
      </c>
      <c r="P291" s="13">
        <f t="shared" si="141"/>
        <v>12026.903225806451</v>
      </c>
      <c r="Q291" s="12">
        <f t="shared" si="131"/>
        <v>638.70967741935476</v>
      </c>
      <c r="R291" s="12">
        <f t="shared" si="128"/>
        <v>211</v>
      </c>
      <c r="S291" s="21">
        <v>0</v>
      </c>
      <c r="T291" s="13">
        <v>0</v>
      </c>
      <c r="U291" s="13">
        <f t="shared" si="142"/>
        <v>849.70967741935476</v>
      </c>
      <c r="V291" s="13">
        <f t="shared" si="132"/>
        <v>11177.193548387097</v>
      </c>
      <c r="X291" s="13">
        <f t="shared" si="129"/>
        <v>11177.193548387097</v>
      </c>
      <c r="Y291" s="12">
        <f t="shared" si="137"/>
        <v>699.91935483870964</v>
      </c>
      <c r="Z291" s="12">
        <f t="shared" si="133"/>
        <v>572</v>
      </c>
      <c r="AA291" s="1">
        <f t="shared" si="144"/>
        <v>0</v>
      </c>
      <c r="AB291" s="16">
        <f t="shared" si="143"/>
        <v>1271.9193548387098</v>
      </c>
      <c r="AC291" s="16">
        <f t="shared" si="134"/>
        <v>13298.822580645161</v>
      </c>
    </row>
    <row r="292" spans="1:29" x14ac:dyDescent="0.2">
      <c r="A292" s="10" t="s">
        <v>36</v>
      </c>
      <c r="B292" s="11">
        <f t="shared" si="138"/>
        <v>287</v>
      </c>
      <c r="C292" s="11" t="s">
        <v>35</v>
      </c>
      <c r="D292" s="19" t="s">
        <v>50</v>
      </c>
      <c r="E292" s="11" t="s">
        <v>234</v>
      </c>
      <c r="F292" s="20">
        <v>42900</v>
      </c>
      <c r="G292" s="11">
        <v>32</v>
      </c>
      <c r="H292" s="13">
        <f t="shared" si="130"/>
        <v>5161.2903225806449</v>
      </c>
      <c r="I292" s="13">
        <f t="shared" si="135"/>
        <v>0</v>
      </c>
      <c r="J292" s="13">
        <f t="shared" si="136"/>
        <v>258.06451612903226</v>
      </c>
      <c r="L292" s="13">
        <f t="shared" si="139"/>
        <v>825.80645161290317</v>
      </c>
      <c r="N292" s="13">
        <f t="shared" si="146"/>
        <v>5417.2903225806449</v>
      </c>
      <c r="P292" s="13">
        <f t="shared" si="141"/>
        <v>11662.451612903225</v>
      </c>
      <c r="Q292" s="12">
        <f t="shared" si="131"/>
        <v>619.35483870967732</v>
      </c>
      <c r="R292" s="12">
        <f t="shared" si="128"/>
        <v>205</v>
      </c>
      <c r="S292" s="21">
        <v>0</v>
      </c>
      <c r="T292" s="13">
        <v>0</v>
      </c>
      <c r="U292" s="13">
        <f t="shared" si="142"/>
        <v>824.35483870967732</v>
      </c>
      <c r="V292" s="13">
        <f t="shared" si="132"/>
        <v>10838.096774193547</v>
      </c>
      <c r="X292" s="13">
        <f t="shared" si="129"/>
        <v>10838.096774193547</v>
      </c>
      <c r="Y292" s="12">
        <f t="shared" si="137"/>
        <v>678.70967741935488</v>
      </c>
      <c r="Z292" s="12">
        <f t="shared" si="133"/>
        <v>554</v>
      </c>
      <c r="AA292" s="1">
        <f t="shared" si="144"/>
        <v>0</v>
      </c>
      <c r="AB292" s="16">
        <f t="shared" si="143"/>
        <v>1232.7096774193549</v>
      </c>
      <c r="AC292" s="16">
        <f t="shared" si="134"/>
        <v>12895.16129032258</v>
      </c>
    </row>
    <row r="293" spans="1:29" x14ac:dyDescent="0.2">
      <c r="A293" s="10" t="s">
        <v>863</v>
      </c>
      <c r="B293" s="11">
        <f t="shared" si="138"/>
        <v>288</v>
      </c>
      <c r="C293" s="11" t="s">
        <v>720</v>
      </c>
      <c r="D293" s="19" t="s">
        <v>50</v>
      </c>
      <c r="E293" s="11" t="s">
        <v>234</v>
      </c>
      <c r="F293" s="20">
        <v>42776</v>
      </c>
      <c r="G293" s="11">
        <v>9</v>
      </c>
      <c r="H293" s="13">
        <f t="shared" si="130"/>
        <v>1451.6129032258063</v>
      </c>
      <c r="I293" s="13">
        <f t="shared" si="135"/>
        <v>0</v>
      </c>
      <c r="J293" s="13">
        <f t="shared" si="136"/>
        <v>72.58064516129032</v>
      </c>
      <c r="L293" s="13">
        <f t="shared" si="139"/>
        <v>232.25806451612902</v>
      </c>
      <c r="N293" s="13">
        <f t="shared" si="146"/>
        <v>1523.6129032258063</v>
      </c>
      <c r="P293" s="13">
        <f t="shared" si="141"/>
        <v>3280.0645161290322</v>
      </c>
      <c r="Q293" s="12">
        <f t="shared" si="131"/>
        <v>174.19354838709677</v>
      </c>
      <c r="R293" s="12">
        <f t="shared" si="128"/>
        <v>58</v>
      </c>
      <c r="S293" s="21">
        <v>0</v>
      </c>
      <c r="T293" s="13">
        <v>0</v>
      </c>
      <c r="U293" s="13">
        <f t="shared" si="142"/>
        <v>232.19354838709677</v>
      </c>
      <c r="V293" s="13">
        <f t="shared" si="132"/>
        <v>3047.8709677419356</v>
      </c>
      <c r="X293" s="13">
        <f t="shared" si="129"/>
        <v>3047.8709677419356</v>
      </c>
      <c r="Y293" s="12">
        <f t="shared" si="137"/>
        <v>190.88709677419354</v>
      </c>
      <c r="Z293" s="12">
        <f t="shared" si="133"/>
        <v>156</v>
      </c>
      <c r="AA293" s="1">
        <f t="shared" si="144"/>
        <v>0</v>
      </c>
      <c r="AB293" s="16">
        <f t="shared" si="143"/>
        <v>346.88709677419354</v>
      </c>
      <c r="AC293" s="16">
        <f t="shared" si="134"/>
        <v>3626.9516129032259</v>
      </c>
    </row>
    <row r="294" spans="1:29" x14ac:dyDescent="0.2">
      <c r="A294" s="10" t="s">
        <v>864</v>
      </c>
      <c r="B294" s="11">
        <f t="shared" si="138"/>
        <v>289</v>
      </c>
      <c r="C294" s="11" t="s">
        <v>721</v>
      </c>
      <c r="D294" s="19" t="s">
        <v>50</v>
      </c>
      <c r="E294" s="11" t="s">
        <v>234</v>
      </c>
      <c r="F294" s="20">
        <v>42919</v>
      </c>
      <c r="G294" s="11">
        <v>5</v>
      </c>
      <c r="H294" s="13">
        <f t="shared" si="130"/>
        <v>806.45161290322574</v>
      </c>
      <c r="I294" s="13">
        <f t="shared" si="135"/>
        <v>0</v>
      </c>
      <c r="J294" s="13">
        <f t="shared" si="136"/>
        <v>40.322580645161288</v>
      </c>
      <c r="L294" s="13">
        <f t="shared" si="139"/>
        <v>129.03225806451613</v>
      </c>
      <c r="N294" s="13">
        <f t="shared" si="146"/>
        <v>846.45161290322574</v>
      </c>
      <c r="P294" s="13">
        <f t="shared" si="141"/>
        <v>1822.2580645161288</v>
      </c>
      <c r="Q294" s="12">
        <f t="shared" si="131"/>
        <v>96.774193548387089</v>
      </c>
      <c r="R294" s="12">
        <f t="shared" si="128"/>
        <v>32</v>
      </c>
      <c r="S294" s="21">
        <v>0</v>
      </c>
      <c r="T294" s="13">
        <v>0</v>
      </c>
      <c r="U294" s="13">
        <f t="shared" si="142"/>
        <v>128.77419354838707</v>
      </c>
      <c r="V294" s="13">
        <f t="shared" si="132"/>
        <v>1693.4838709677417</v>
      </c>
      <c r="X294" s="13">
        <f t="shared" si="129"/>
        <v>1693.4838709677417</v>
      </c>
      <c r="Y294" s="12">
        <f t="shared" si="137"/>
        <v>106.04838709677419</v>
      </c>
      <c r="Z294" s="12">
        <f t="shared" si="133"/>
        <v>87</v>
      </c>
      <c r="AA294" s="1">
        <f t="shared" si="144"/>
        <v>0</v>
      </c>
      <c r="AB294" s="16">
        <f t="shared" si="143"/>
        <v>193.04838709677421</v>
      </c>
      <c r="AC294" s="16">
        <f t="shared" si="134"/>
        <v>2015.3064516129029</v>
      </c>
    </row>
    <row r="295" spans="1:29" x14ac:dyDescent="0.2">
      <c r="A295" s="10" t="s">
        <v>865</v>
      </c>
      <c r="B295" s="11">
        <f t="shared" si="138"/>
        <v>290</v>
      </c>
      <c r="C295" s="11" t="s">
        <v>722</v>
      </c>
      <c r="D295" s="19" t="s">
        <v>50</v>
      </c>
      <c r="E295" s="11" t="s">
        <v>234</v>
      </c>
      <c r="F295" s="20">
        <v>42920</v>
      </c>
      <c r="G295" s="11">
        <v>33</v>
      </c>
      <c r="H295" s="13">
        <f t="shared" si="130"/>
        <v>5322.5806451612898</v>
      </c>
      <c r="I295" s="13">
        <f t="shared" si="135"/>
        <v>0</v>
      </c>
      <c r="J295" s="13">
        <f t="shared" si="136"/>
        <v>266.12903225806451</v>
      </c>
      <c r="L295" s="13">
        <f t="shared" si="139"/>
        <v>851.61290322580635</v>
      </c>
      <c r="N295" s="13">
        <f t="shared" si="146"/>
        <v>5586.5806451612898</v>
      </c>
      <c r="P295" s="13">
        <f t="shared" si="141"/>
        <v>12026.903225806451</v>
      </c>
      <c r="Q295" s="12">
        <f t="shared" si="131"/>
        <v>638.70967741935476</v>
      </c>
      <c r="R295" s="12">
        <f t="shared" si="128"/>
        <v>211</v>
      </c>
      <c r="S295" s="21">
        <v>0</v>
      </c>
      <c r="T295" s="13">
        <v>0</v>
      </c>
      <c r="U295" s="13">
        <f t="shared" si="142"/>
        <v>849.70967741935476</v>
      </c>
      <c r="V295" s="13">
        <f t="shared" si="132"/>
        <v>11177.193548387097</v>
      </c>
      <c r="X295" s="13">
        <f t="shared" si="129"/>
        <v>11177.193548387097</v>
      </c>
      <c r="Y295" s="12">
        <f t="shared" si="137"/>
        <v>699.91935483870964</v>
      </c>
      <c r="Z295" s="12">
        <f t="shared" si="133"/>
        <v>572</v>
      </c>
      <c r="AA295" s="1">
        <f t="shared" si="144"/>
        <v>0</v>
      </c>
      <c r="AB295" s="16">
        <f t="shared" si="143"/>
        <v>1271.9193548387098</v>
      </c>
      <c r="AC295" s="16">
        <f t="shared" si="134"/>
        <v>13298.822580645161</v>
      </c>
    </row>
    <row r="296" spans="1:29" x14ac:dyDescent="0.2">
      <c r="A296" s="10" t="s">
        <v>866</v>
      </c>
      <c r="B296" s="11">
        <f t="shared" si="138"/>
        <v>291</v>
      </c>
      <c r="C296" s="11" t="s">
        <v>723</v>
      </c>
      <c r="D296" s="19" t="s">
        <v>50</v>
      </c>
      <c r="E296" s="11" t="s">
        <v>234</v>
      </c>
      <c r="F296" s="20">
        <v>42930</v>
      </c>
      <c r="G296" s="11">
        <v>9</v>
      </c>
      <c r="H296" s="13">
        <f t="shared" si="130"/>
        <v>1451.6129032258063</v>
      </c>
      <c r="I296" s="13">
        <f t="shared" si="135"/>
        <v>0</v>
      </c>
      <c r="J296" s="13">
        <f t="shared" si="136"/>
        <v>72.58064516129032</v>
      </c>
      <c r="L296" s="13">
        <f t="shared" si="139"/>
        <v>232.25806451612902</v>
      </c>
      <c r="N296" s="13">
        <f t="shared" si="146"/>
        <v>1523.6129032258063</v>
      </c>
      <c r="P296" s="13">
        <f t="shared" si="141"/>
        <v>3280.0645161290322</v>
      </c>
      <c r="Q296" s="12">
        <f t="shared" si="131"/>
        <v>174.19354838709677</v>
      </c>
      <c r="R296" s="12">
        <f t="shared" si="128"/>
        <v>58</v>
      </c>
      <c r="S296" s="21">
        <v>0</v>
      </c>
      <c r="T296" s="13">
        <v>0</v>
      </c>
      <c r="U296" s="13">
        <f t="shared" si="142"/>
        <v>232.19354838709677</v>
      </c>
      <c r="V296" s="13">
        <f t="shared" si="132"/>
        <v>3047.8709677419356</v>
      </c>
      <c r="X296" s="13">
        <f t="shared" si="129"/>
        <v>3047.8709677419356</v>
      </c>
      <c r="Y296" s="12">
        <f t="shared" si="137"/>
        <v>190.88709677419354</v>
      </c>
      <c r="Z296" s="12">
        <f t="shared" si="133"/>
        <v>156</v>
      </c>
      <c r="AA296" s="1">
        <f t="shared" si="144"/>
        <v>0</v>
      </c>
      <c r="AB296" s="16">
        <f t="shared" si="143"/>
        <v>346.88709677419354</v>
      </c>
      <c r="AC296" s="16">
        <f t="shared" si="134"/>
        <v>3626.9516129032259</v>
      </c>
    </row>
    <row r="297" spans="1:29" x14ac:dyDescent="0.2">
      <c r="A297" s="10" t="s">
        <v>867</v>
      </c>
      <c r="B297" s="11">
        <f t="shared" si="138"/>
        <v>292</v>
      </c>
      <c r="C297" s="11" t="s">
        <v>724</v>
      </c>
      <c r="D297" s="19" t="s">
        <v>50</v>
      </c>
      <c r="E297" s="11" t="s">
        <v>234</v>
      </c>
      <c r="F297" s="20">
        <v>42922</v>
      </c>
      <c r="G297" s="11">
        <v>37</v>
      </c>
      <c r="H297" s="13">
        <f t="shared" si="130"/>
        <v>5967.7419354838703</v>
      </c>
      <c r="I297" s="13">
        <f t="shared" si="135"/>
        <v>0</v>
      </c>
      <c r="J297" s="13">
        <f t="shared" si="136"/>
        <v>298.38709677419354</v>
      </c>
      <c r="L297" s="13">
        <f t="shared" si="139"/>
        <v>954.83870967741927</v>
      </c>
      <c r="N297" s="13">
        <f t="shared" si="146"/>
        <v>6263.7419354838703</v>
      </c>
      <c r="P297" s="13">
        <f t="shared" si="141"/>
        <v>13484.709677419352</v>
      </c>
      <c r="Q297" s="12">
        <f t="shared" si="131"/>
        <v>716.1290322580644</v>
      </c>
      <c r="R297" s="12">
        <f t="shared" si="128"/>
        <v>236</v>
      </c>
      <c r="S297" s="21">
        <v>0</v>
      </c>
      <c r="T297" s="13">
        <v>0</v>
      </c>
      <c r="U297" s="13">
        <f t="shared" si="142"/>
        <v>952.1290322580644</v>
      </c>
      <c r="V297" s="13">
        <f t="shared" si="132"/>
        <v>12532.580645161288</v>
      </c>
      <c r="X297" s="13">
        <f t="shared" si="129"/>
        <v>12532.580645161288</v>
      </c>
      <c r="Y297" s="12">
        <f t="shared" si="137"/>
        <v>784.75806451612902</v>
      </c>
      <c r="Z297" s="12">
        <f t="shared" si="133"/>
        <v>641</v>
      </c>
      <c r="AA297" s="1">
        <f t="shared" si="144"/>
        <v>0</v>
      </c>
      <c r="AB297" s="16">
        <f t="shared" si="143"/>
        <v>1425.758064516129</v>
      </c>
      <c r="AC297" s="16">
        <f t="shared" si="134"/>
        <v>14910.467741935481</v>
      </c>
    </row>
    <row r="298" spans="1:29" x14ac:dyDescent="0.2">
      <c r="A298" s="10" t="s">
        <v>868</v>
      </c>
      <c r="B298" s="11">
        <f t="shared" si="138"/>
        <v>293</v>
      </c>
      <c r="C298" s="11" t="s">
        <v>725</v>
      </c>
      <c r="D298" s="19" t="s">
        <v>50</v>
      </c>
      <c r="E298" s="11" t="s">
        <v>234</v>
      </c>
      <c r="F298" s="20">
        <v>42923</v>
      </c>
      <c r="G298" s="11">
        <v>32</v>
      </c>
      <c r="H298" s="13">
        <f t="shared" si="130"/>
        <v>5161.2903225806449</v>
      </c>
      <c r="I298" s="13">
        <f t="shared" si="135"/>
        <v>0</v>
      </c>
      <c r="J298" s="13">
        <f t="shared" si="136"/>
        <v>258.06451612903226</v>
      </c>
      <c r="L298" s="13">
        <f t="shared" si="139"/>
        <v>825.80645161290317</v>
      </c>
      <c r="N298" s="13">
        <f t="shared" si="146"/>
        <v>5417.2903225806449</v>
      </c>
      <c r="P298" s="13">
        <f t="shared" si="141"/>
        <v>11662.451612903225</v>
      </c>
      <c r="Q298" s="12">
        <f t="shared" si="131"/>
        <v>619.35483870967732</v>
      </c>
      <c r="R298" s="12">
        <f t="shared" si="128"/>
        <v>205</v>
      </c>
      <c r="S298" s="21">
        <v>0</v>
      </c>
      <c r="T298" s="13">
        <v>0</v>
      </c>
      <c r="U298" s="13">
        <f t="shared" si="142"/>
        <v>824.35483870967732</v>
      </c>
      <c r="V298" s="13">
        <f t="shared" si="132"/>
        <v>10838.096774193547</v>
      </c>
      <c r="X298" s="13">
        <f t="shared" si="129"/>
        <v>10838.096774193547</v>
      </c>
      <c r="Y298" s="12">
        <f t="shared" si="137"/>
        <v>678.70967741935488</v>
      </c>
      <c r="Z298" s="12">
        <f t="shared" si="133"/>
        <v>554</v>
      </c>
      <c r="AA298" s="1">
        <f t="shared" si="144"/>
        <v>0</v>
      </c>
      <c r="AB298" s="16">
        <f t="shared" si="143"/>
        <v>1232.7096774193549</v>
      </c>
      <c r="AC298" s="16">
        <f t="shared" si="134"/>
        <v>12895.16129032258</v>
      </c>
    </row>
    <row r="299" spans="1:29" x14ac:dyDescent="0.2">
      <c r="A299" s="10" t="s">
        <v>869</v>
      </c>
      <c r="B299" s="11">
        <f t="shared" si="138"/>
        <v>294</v>
      </c>
      <c r="C299" s="11" t="s">
        <v>726</v>
      </c>
      <c r="D299" s="19" t="s">
        <v>50</v>
      </c>
      <c r="E299" s="11" t="s">
        <v>234</v>
      </c>
      <c r="F299" s="20">
        <v>42923</v>
      </c>
      <c r="G299" s="11">
        <v>34</v>
      </c>
      <c r="H299" s="13">
        <f t="shared" si="130"/>
        <v>5483.8709677419356</v>
      </c>
      <c r="I299" s="13">
        <f t="shared" si="135"/>
        <v>0</v>
      </c>
      <c r="J299" s="13">
        <f t="shared" si="136"/>
        <v>274.19354838709677</v>
      </c>
      <c r="L299" s="13">
        <f t="shared" si="139"/>
        <v>877.41935483870964</v>
      </c>
      <c r="N299" s="13">
        <f t="shared" si="146"/>
        <v>5755.8709677419356</v>
      </c>
      <c r="P299" s="13">
        <f t="shared" si="141"/>
        <v>12391.354838709678</v>
      </c>
      <c r="Q299" s="12">
        <f t="shared" si="131"/>
        <v>658.0645161290322</v>
      </c>
      <c r="R299" s="12">
        <f t="shared" si="128"/>
        <v>217</v>
      </c>
      <c r="S299" s="21">
        <v>0</v>
      </c>
      <c r="T299" s="13">
        <v>0</v>
      </c>
      <c r="U299" s="13">
        <f t="shared" si="142"/>
        <v>875.0645161290322</v>
      </c>
      <c r="V299" s="13">
        <f t="shared" si="132"/>
        <v>11516.290322580646</v>
      </c>
      <c r="X299" s="13">
        <f t="shared" si="129"/>
        <v>11516.290322580646</v>
      </c>
      <c r="Y299" s="12">
        <f t="shared" si="137"/>
        <v>721.12903225806451</v>
      </c>
      <c r="Z299" s="12">
        <f t="shared" si="133"/>
        <v>589</v>
      </c>
      <c r="AA299" s="1">
        <f t="shared" si="144"/>
        <v>0</v>
      </c>
      <c r="AB299" s="16">
        <f t="shared" si="143"/>
        <v>1310.1290322580644</v>
      </c>
      <c r="AC299" s="16">
        <f t="shared" si="134"/>
        <v>13701.483870967742</v>
      </c>
    </row>
    <row r="300" spans="1:29" x14ac:dyDescent="0.2">
      <c r="A300" s="10" t="s">
        <v>870</v>
      </c>
      <c r="B300" s="11">
        <f t="shared" si="138"/>
        <v>295</v>
      </c>
      <c r="C300" s="11" t="s">
        <v>727</v>
      </c>
      <c r="D300" s="19" t="s">
        <v>50</v>
      </c>
      <c r="E300" s="11" t="s">
        <v>234</v>
      </c>
      <c r="F300" s="20">
        <v>42923</v>
      </c>
      <c r="G300" s="11">
        <v>12</v>
      </c>
      <c r="H300" s="13">
        <f t="shared" si="130"/>
        <v>1935.483870967742</v>
      </c>
      <c r="I300" s="13">
        <f t="shared" si="135"/>
        <v>0</v>
      </c>
      <c r="J300" s="13">
        <f t="shared" si="136"/>
        <v>96.774193548387103</v>
      </c>
      <c r="L300" s="13">
        <f t="shared" si="139"/>
        <v>309.67741935483866</v>
      </c>
      <c r="N300" s="13">
        <f t="shared" si="146"/>
        <v>2031.483870967742</v>
      </c>
      <c r="P300" s="13">
        <f t="shared" si="141"/>
        <v>4373.4193548387102</v>
      </c>
      <c r="Q300" s="12">
        <f t="shared" si="131"/>
        <v>232.25806451612902</v>
      </c>
      <c r="R300" s="12">
        <f t="shared" si="128"/>
        <v>77</v>
      </c>
      <c r="S300" s="21">
        <v>0</v>
      </c>
      <c r="T300" s="13">
        <v>0</v>
      </c>
      <c r="U300" s="13">
        <f t="shared" si="142"/>
        <v>309.25806451612902</v>
      </c>
      <c r="V300" s="13">
        <f t="shared" si="132"/>
        <v>4064.1612903225814</v>
      </c>
      <c r="X300" s="13">
        <f t="shared" si="129"/>
        <v>4064.1612903225814</v>
      </c>
      <c r="Y300" s="12">
        <f t="shared" si="137"/>
        <v>254.51612903225808</v>
      </c>
      <c r="Z300" s="12">
        <f t="shared" si="133"/>
        <v>208</v>
      </c>
      <c r="AA300" s="1">
        <f t="shared" si="144"/>
        <v>0</v>
      </c>
      <c r="AB300" s="16">
        <f t="shared" si="143"/>
        <v>462.51612903225805</v>
      </c>
      <c r="AC300" s="16">
        <f t="shared" si="134"/>
        <v>4835.9354838709678</v>
      </c>
    </row>
    <row r="301" spans="1:29" x14ac:dyDescent="0.2">
      <c r="A301" s="10" t="s">
        <v>871</v>
      </c>
      <c r="B301" s="11">
        <f t="shared" si="138"/>
        <v>296</v>
      </c>
      <c r="C301" s="11" t="s">
        <v>728</v>
      </c>
      <c r="D301" s="19" t="s">
        <v>50</v>
      </c>
      <c r="E301" s="11" t="s">
        <v>234</v>
      </c>
      <c r="F301" s="20">
        <v>42924</v>
      </c>
      <c r="G301" s="11">
        <v>7</v>
      </c>
      <c r="H301" s="13">
        <f t="shared" si="130"/>
        <v>1129.0322580645161</v>
      </c>
      <c r="I301" s="13">
        <f t="shared" si="135"/>
        <v>0</v>
      </c>
      <c r="J301" s="13">
        <f t="shared" si="136"/>
        <v>56.451612903225808</v>
      </c>
      <c r="L301" s="13">
        <f t="shared" si="139"/>
        <v>180.64516129032256</v>
      </c>
      <c r="N301" s="13">
        <f t="shared" si="146"/>
        <v>1185.0322580645161</v>
      </c>
      <c r="P301" s="13">
        <f t="shared" si="141"/>
        <v>2551.1612903225805</v>
      </c>
      <c r="Q301" s="12">
        <f t="shared" si="131"/>
        <v>135.48387096774192</v>
      </c>
      <c r="R301" s="12">
        <f t="shared" si="128"/>
        <v>45</v>
      </c>
      <c r="S301" s="21">
        <v>0</v>
      </c>
      <c r="T301" s="13">
        <v>0</v>
      </c>
      <c r="U301" s="13">
        <f t="shared" si="142"/>
        <v>180.48387096774192</v>
      </c>
      <c r="V301" s="13">
        <f t="shared" si="132"/>
        <v>2370.6774193548385</v>
      </c>
      <c r="X301" s="13">
        <f t="shared" si="129"/>
        <v>2370.6774193548385</v>
      </c>
      <c r="Y301" s="12">
        <f t="shared" si="137"/>
        <v>148.46774193548387</v>
      </c>
      <c r="Z301" s="12">
        <f t="shared" si="133"/>
        <v>122</v>
      </c>
      <c r="AA301" s="1">
        <f t="shared" si="144"/>
        <v>0</v>
      </c>
      <c r="AB301" s="16">
        <f t="shared" si="143"/>
        <v>270.4677419354839</v>
      </c>
      <c r="AC301" s="16">
        <f t="shared" si="134"/>
        <v>2821.6290322580644</v>
      </c>
    </row>
    <row r="302" spans="1:29" x14ac:dyDescent="0.2">
      <c r="A302" s="10" t="s">
        <v>872</v>
      </c>
      <c r="B302" s="11">
        <f t="shared" si="138"/>
        <v>297</v>
      </c>
      <c r="C302" s="11" t="s">
        <v>729</v>
      </c>
      <c r="D302" s="19" t="s">
        <v>50</v>
      </c>
      <c r="E302" s="11" t="s">
        <v>234</v>
      </c>
      <c r="F302" s="20">
        <v>42924</v>
      </c>
      <c r="G302" s="11">
        <v>20</v>
      </c>
      <c r="H302" s="13">
        <f t="shared" si="130"/>
        <v>3225.8064516129029</v>
      </c>
      <c r="I302" s="13">
        <f t="shared" si="135"/>
        <v>0</v>
      </c>
      <c r="J302" s="13">
        <f t="shared" si="136"/>
        <v>161.29032258064515</v>
      </c>
      <c r="L302" s="13">
        <f t="shared" si="139"/>
        <v>516.12903225806451</v>
      </c>
      <c r="N302" s="13">
        <f t="shared" si="146"/>
        <v>3385.8064516129029</v>
      </c>
      <c r="P302" s="13">
        <f t="shared" si="141"/>
        <v>7289.0322580645152</v>
      </c>
      <c r="Q302" s="12">
        <f t="shared" si="131"/>
        <v>387.09677419354836</v>
      </c>
      <c r="R302" s="12">
        <f t="shared" si="128"/>
        <v>128</v>
      </c>
      <c r="S302" s="21">
        <v>0</v>
      </c>
      <c r="T302" s="13">
        <v>0</v>
      </c>
      <c r="U302" s="13">
        <f t="shared" si="142"/>
        <v>515.0967741935483</v>
      </c>
      <c r="V302" s="13">
        <f t="shared" si="132"/>
        <v>6773.9354838709669</v>
      </c>
      <c r="X302" s="13">
        <f t="shared" si="129"/>
        <v>6773.9354838709669</v>
      </c>
      <c r="Y302" s="12">
        <f t="shared" si="137"/>
        <v>424.19354838709677</v>
      </c>
      <c r="Z302" s="12">
        <f t="shared" si="133"/>
        <v>347</v>
      </c>
      <c r="AA302" s="1">
        <f t="shared" si="144"/>
        <v>0</v>
      </c>
      <c r="AB302" s="16">
        <f t="shared" si="143"/>
        <v>771.19354838709683</v>
      </c>
      <c r="AC302" s="16">
        <f t="shared" si="134"/>
        <v>8060.2258064516118</v>
      </c>
    </row>
    <row r="303" spans="1:29" x14ac:dyDescent="0.2">
      <c r="A303" s="10" t="s">
        <v>873</v>
      </c>
      <c r="B303" s="11">
        <f t="shared" si="138"/>
        <v>298</v>
      </c>
      <c r="C303" s="11" t="s">
        <v>730</v>
      </c>
      <c r="D303" s="19" t="s">
        <v>50</v>
      </c>
      <c r="E303" s="11" t="s">
        <v>234</v>
      </c>
      <c r="F303" s="20">
        <v>42927</v>
      </c>
      <c r="G303" s="11">
        <v>35</v>
      </c>
      <c r="H303" s="13">
        <f t="shared" si="130"/>
        <v>5645.1612903225805</v>
      </c>
      <c r="I303" s="13">
        <f t="shared" si="135"/>
        <v>0</v>
      </c>
      <c r="J303" s="13">
        <f t="shared" si="136"/>
        <v>282.25806451612902</v>
      </c>
      <c r="L303" s="13">
        <f t="shared" si="139"/>
        <v>903.22580645161281</v>
      </c>
      <c r="N303" s="13">
        <f t="shared" si="146"/>
        <v>5925.1612903225805</v>
      </c>
      <c r="P303" s="13">
        <f t="shared" si="141"/>
        <v>12755.806451612902</v>
      </c>
      <c r="Q303" s="12">
        <f t="shared" si="131"/>
        <v>677.41935483870964</v>
      </c>
      <c r="R303" s="12">
        <f t="shared" si="128"/>
        <v>224</v>
      </c>
      <c r="S303" s="21">
        <v>0</v>
      </c>
      <c r="T303" s="13">
        <v>0</v>
      </c>
      <c r="U303" s="13">
        <f t="shared" si="142"/>
        <v>901.41935483870964</v>
      </c>
      <c r="V303" s="13">
        <f t="shared" si="132"/>
        <v>11854.387096774191</v>
      </c>
      <c r="X303" s="13">
        <f t="shared" si="129"/>
        <v>11854.387096774191</v>
      </c>
      <c r="Y303" s="12">
        <f t="shared" si="137"/>
        <v>742.33870967741939</v>
      </c>
      <c r="Z303" s="12">
        <f t="shared" si="133"/>
        <v>606</v>
      </c>
      <c r="AA303" s="1">
        <f t="shared" si="144"/>
        <v>0</v>
      </c>
      <c r="AB303" s="16">
        <f t="shared" si="143"/>
        <v>1348.3387096774195</v>
      </c>
      <c r="AC303" s="16">
        <f t="shared" si="134"/>
        <v>14104.145161290322</v>
      </c>
    </row>
    <row r="304" spans="1:29" x14ac:dyDescent="0.2">
      <c r="A304" s="10" t="s">
        <v>874</v>
      </c>
      <c r="B304" s="11">
        <f t="shared" si="138"/>
        <v>299</v>
      </c>
      <c r="C304" s="11" t="s">
        <v>731</v>
      </c>
      <c r="D304" s="19" t="s">
        <v>50</v>
      </c>
      <c r="E304" s="11" t="s">
        <v>234</v>
      </c>
      <c r="F304" s="20">
        <v>42927</v>
      </c>
      <c r="G304" s="11">
        <v>36</v>
      </c>
      <c r="H304" s="13">
        <f t="shared" si="130"/>
        <v>5806.4516129032254</v>
      </c>
      <c r="I304" s="13">
        <f t="shared" si="135"/>
        <v>0</v>
      </c>
      <c r="J304" s="13">
        <f t="shared" si="136"/>
        <v>290.32258064516128</v>
      </c>
      <c r="L304" s="13">
        <f t="shared" si="139"/>
        <v>929.0322580645161</v>
      </c>
      <c r="N304" s="13">
        <f t="shared" si="146"/>
        <v>6094.4516129032254</v>
      </c>
      <c r="P304" s="13">
        <f t="shared" si="141"/>
        <v>13120.258064516129</v>
      </c>
      <c r="Q304" s="12">
        <f t="shared" si="131"/>
        <v>696.77419354838707</v>
      </c>
      <c r="R304" s="12">
        <f t="shared" si="128"/>
        <v>230</v>
      </c>
      <c r="S304" s="21">
        <v>0</v>
      </c>
      <c r="T304" s="13">
        <v>0</v>
      </c>
      <c r="U304" s="13">
        <f t="shared" si="142"/>
        <v>926.77419354838707</v>
      </c>
      <c r="V304" s="13">
        <f t="shared" si="132"/>
        <v>12193.483870967742</v>
      </c>
      <c r="X304" s="13">
        <f t="shared" si="129"/>
        <v>12193.483870967742</v>
      </c>
      <c r="Y304" s="12">
        <f t="shared" si="137"/>
        <v>763.54838709677415</v>
      </c>
      <c r="Z304" s="12">
        <f t="shared" si="133"/>
        <v>624</v>
      </c>
      <c r="AA304" s="1">
        <f t="shared" si="144"/>
        <v>0</v>
      </c>
      <c r="AB304" s="16">
        <f t="shared" si="143"/>
        <v>1387.5483870967741</v>
      </c>
      <c r="AC304" s="16">
        <f t="shared" si="134"/>
        <v>14507.806451612903</v>
      </c>
    </row>
    <row r="305" spans="1:29" x14ac:dyDescent="0.2">
      <c r="A305" s="10" t="s">
        <v>875</v>
      </c>
      <c r="B305" s="11">
        <f t="shared" si="138"/>
        <v>300</v>
      </c>
      <c r="C305" s="11" t="s">
        <v>732</v>
      </c>
      <c r="D305" s="19" t="s">
        <v>50</v>
      </c>
      <c r="E305" s="11" t="s">
        <v>234</v>
      </c>
      <c r="F305" s="20">
        <v>42929</v>
      </c>
      <c r="G305" s="11">
        <v>31</v>
      </c>
      <c r="H305" s="13">
        <f t="shared" si="130"/>
        <v>5000</v>
      </c>
      <c r="I305" s="13">
        <f t="shared" si="135"/>
        <v>0</v>
      </c>
      <c r="J305" s="13">
        <f t="shared" si="136"/>
        <v>250</v>
      </c>
      <c r="L305" s="13">
        <f t="shared" si="139"/>
        <v>800</v>
      </c>
      <c r="N305" s="13">
        <f t="shared" si="146"/>
        <v>5248</v>
      </c>
      <c r="P305" s="13">
        <f t="shared" si="141"/>
        <v>11298</v>
      </c>
      <c r="Q305" s="12">
        <f t="shared" si="131"/>
        <v>600</v>
      </c>
      <c r="R305" s="12">
        <f t="shared" si="128"/>
        <v>198</v>
      </c>
      <c r="S305" s="21">
        <v>0</v>
      </c>
      <c r="T305" s="13">
        <v>0</v>
      </c>
      <c r="U305" s="13">
        <f t="shared" si="142"/>
        <v>798</v>
      </c>
      <c r="V305" s="13">
        <f t="shared" si="132"/>
        <v>10500</v>
      </c>
      <c r="X305" s="13">
        <f t="shared" si="129"/>
        <v>10500</v>
      </c>
      <c r="Y305" s="12">
        <f t="shared" si="137"/>
        <v>657.5</v>
      </c>
      <c r="Z305" s="12">
        <f t="shared" si="133"/>
        <v>537</v>
      </c>
      <c r="AA305" s="1">
        <f t="shared" si="144"/>
        <v>0</v>
      </c>
      <c r="AB305" s="16">
        <f t="shared" si="143"/>
        <v>1194.5</v>
      </c>
      <c r="AC305" s="16">
        <f t="shared" si="134"/>
        <v>12492.5</v>
      </c>
    </row>
    <row r="306" spans="1:29" x14ac:dyDescent="0.2">
      <c r="A306" s="10" t="s">
        <v>876</v>
      </c>
      <c r="B306" s="11">
        <f t="shared" si="138"/>
        <v>301</v>
      </c>
      <c r="C306" s="11" t="s">
        <v>733</v>
      </c>
      <c r="D306" s="19" t="s">
        <v>50</v>
      </c>
      <c r="E306" s="11" t="s">
        <v>234</v>
      </c>
      <c r="F306" s="20">
        <v>42929</v>
      </c>
      <c r="G306" s="11">
        <v>22</v>
      </c>
      <c r="H306" s="13">
        <f t="shared" si="130"/>
        <v>3548.3870967741932</v>
      </c>
      <c r="I306" s="13">
        <f t="shared" si="135"/>
        <v>0</v>
      </c>
      <c r="J306" s="13">
        <f t="shared" si="136"/>
        <v>177.41935483870967</v>
      </c>
      <c r="L306" s="13">
        <f t="shared" si="139"/>
        <v>567.74193548387098</v>
      </c>
      <c r="N306" s="13">
        <f t="shared" si="146"/>
        <v>3724.3870967741932</v>
      </c>
      <c r="P306" s="13">
        <f t="shared" si="141"/>
        <v>8017.9354838709669</v>
      </c>
      <c r="Q306" s="12">
        <f t="shared" si="131"/>
        <v>425.80645161290317</v>
      </c>
      <c r="R306" s="12">
        <f t="shared" si="128"/>
        <v>141</v>
      </c>
      <c r="S306" s="21">
        <v>0</v>
      </c>
      <c r="T306" s="13">
        <v>0</v>
      </c>
      <c r="U306" s="13">
        <f t="shared" si="142"/>
        <v>566.80645161290317</v>
      </c>
      <c r="V306" s="13">
        <f t="shared" si="132"/>
        <v>7451.1290322580635</v>
      </c>
      <c r="X306" s="13">
        <f t="shared" si="129"/>
        <v>7451.1290322580635</v>
      </c>
      <c r="Y306" s="12">
        <f t="shared" si="137"/>
        <v>466.61290322580641</v>
      </c>
      <c r="Z306" s="12">
        <f t="shared" si="133"/>
        <v>381</v>
      </c>
      <c r="AA306" s="1">
        <f t="shared" si="144"/>
        <v>0</v>
      </c>
      <c r="AB306" s="16">
        <f t="shared" si="143"/>
        <v>847.61290322580635</v>
      </c>
      <c r="AC306" s="16">
        <f t="shared" si="134"/>
        <v>8865.5483870967728</v>
      </c>
    </row>
    <row r="307" spans="1:29" x14ac:dyDescent="0.2">
      <c r="A307" s="10" t="s">
        <v>877</v>
      </c>
      <c r="B307" s="11">
        <f t="shared" si="138"/>
        <v>302</v>
      </c>
      <c r="C307" s="11" t="s">
        <v>734</v>
      </c>
      <c r="D307" s="19" t="s">
        <v>50</v>
      </c>
      <c r="E307" s="11" t="s">
        <v>234</v>
      </c>
      <c r="F307" s="20">
        <v>42930</v>
      </c>
      <c r="G307" s="11">
        <v>30</v>
      </c>
      <c r="H307" s="13">
        <f t="shared" si="130"/>
        <v>4838.7096774193542</v>
      </c>
      <c r="I307" s="13">
        <f t="shared" si="135"/>
        <v>0</v>
      </c>
      <c r="J307" s="13">
        <f t="shared" si="136"/>
        <v>241.93548387096772</v>
      </c>
      <c r="L307" s="13">
        <f t="shared" si="139"/>
        <v>774.19354838709671</v>
      </c>
      <c r="N307" s="13">
        <f t="shared" si="146"/>
        <v>5078.7096774193542</v>
      </c>
      <c r="P307" s="13">
        <f t="shared" si="141"/>
        <v>10933.548387096773</v>
      </c>
      <c r="Q307" s="12">
        <f t="shared" si="131"/>
        <v>580.64516129032245</v>
      </c>
      <c r="R307" s="12">
        <f t="shared" si="128"/>
        <v>192</v>
      </c>
      <c r="S307" s="21">
        <v>0</v>
      </c>
      <c r="T307" s="13">
        <v>0</v>
      </c>
      <c r="U307" s="13">
        <f t="shared" si="142"/>
        <v>772.64516129032245</v>
      </c>
      <c r="V307" s="13">
        <f t="shared" si="132"/>
        <v>10160.903225806451</v>
      </c>
      <c r="X307" s="13">
        <f t="shared" si="129"/>
        <v>10160.903225806451</v>
      </c>
      <c r="Y307" s="12">
        <f t="shared" si="137"/>
        <v>636.29032258064512</v>
      </c>
      <c r="Z307" s="12">
        <f t="shared" si="133"/>
        <v>520</v>
      </c>
      <c r="AA307" s="1">
        <f t="shared" si="144"/>
        <v>0</v>
      </c>
      <c r="AB307" s="16">
        <f t="shared" si="143"/>
        <v>1156.2903225806451</v>
      </c>
      <c r="AC307" s="16">
        <f t="shared" si="134"/>
        <v>12089.838709677419</v>
      </c>
    </row>
    <row r="308" spans="1:29" x14ac:dyDescent="0.2">
      <c r="A308" s="10" t="s">
        <v>878</v>
      </c>
      <c r="B308" s="11">
        <f t="shared" si="138"/>
        <v>303</v>
      </c>
      <c r="C308" s="11" t="s">
        <v>735</v>
      </c>
      <c r="D308" s="19" t="s">
        <v>50</v>
      </c>
      <c r="E308" s="11" t="s">
        <v>234</v>
      </c>
      <c r="F308" s="20">
        <v>42930</v>
      </c>
      <c r="G308" s="11">
        <v>34</v>
      </c>
      <c r="H308" s="13">
        <f t="shared" si="130"/>
        <v>5483.8709677419356</v>
      </c>
      <c r="I308" s="13">
        <f t="shared" si="135"/>
        <v>0</v>
      </c>
      <c r="J308" s="13">
        <f t="shared" si="136"/>
        <v>274.19354838709677</v>
      </c>
      <c r="L308" s="13">
        <f t="shared" si="139"/>
        <v>877.41935483870964</v>
      </c>
      <c r="N308" s="13">
        <f t="shared" si="146"/>
        <v>5755.8709677419356</v>
      </c>
      <c r="P308" s="13">
        <f t="shared" si="141"/>
        <v>12391.354838709678</v>
      </c>
      <c r="Q308" s="12">
        <f t="shared" si="131"/>
        <v>658.0645161290322</v>
      </c>
      <c r="R308" s="12">
        <f t="shared" si="128"/>
        <v>217</v>
      </c>
      <c r="S308" s="21">
        <v>0</v>
      </c>
      <c r="T308" s="13">
        <v>0</v>
      </c>
      <c r="U308" s="13">
        <f t="shared" si="142"/>
        <v>875.0645161290322</v>
      </c>
      <c r="V308" s="13">
        <f t="shared" si="132"/>
        <v>11516.290322580646</v>
      </c>
      <c r="X308" s="13">
        <f t="shared" si="129"/>
        <v>11516.290322580646</v>
      </c>
      <c r="Y308" s="12">
        <f t="shared" si="137"/>
        <v>721.12903225806451</v>
      </c>
      <c r="Z308" s="12">
        <f t="shared" si="133"/>
        <v>589</v>
      </c>
      <c r="AA308" s="1">
        <f t="shared" si="144"/>
        <v>0</v>
      </c>
      <c r="AB308" s="16">
        <f t="shared" si="143"/>
        <v>1310.1290322580644</v>
      </c>
      <c r="AC308" s="16">
        <f t="shared" si="134"/>
        <v>13701.483870967742</v>
      </c>
    </row>
    <row r="309" spans="1:29" x14ac:dyDescent="0.2">
      <c r="A309" s="10" t="s">
        <v>879</v>
      </c>
      <c r="B309" s="11">
        <f t="shared" si="138"/>
        <v>304</v>
      </c>
      <c r="C309" s="11" t="s">
        <v>736</v>
      </c>
      <c r="D309" s="19" t="s">
        <v>50</v>
      </c>
      <c r="E309" s="11" t="s">
        <v>234</v>
      </c>
      <c r="F309" s="20">
        <v>42931</v>
      </c>
      <c r="G309" s="11">
        <v>33</v>
      </c>
      <c r="H309" s="13">
        <f t="shared" si="130"/>
        <v>5322.5806451612898</v>
      </c>
      <c r="I309" s="13">
        <f t="shared" si="135"/>
        <v>0</v>
      </c>
      <c r="J309" s="13">
        <f t="shared" si="136"/>
        <v>266.12903225806451</v>
      </c>
      <c r="L309" s="13">
        <f t="shared" si="139"/>
        <v>851.61290322580635</v>
      </c>
      <c r="N309" s="13">
        <f t="shared" si="146"/>
        <v>5586.5806451612898</v>
      </c>
      <c r="P309" s="13">
        <f t="shared" si="141"/>
        <v>12026.903225806451</v>
      </c>
      <c r="Q309" s="12">
        <f t="shared" si="131"/>
        <v>638.70967741935476</v>
      </c>
      <c r="R309" s="12">
        <f t="shared" si="128"/>
        <v>211</v>
      </c>
      <c r="S309" s="21">
        <v>0</v>
      </c>
      <c r="T309" s="13">
        <v>0</v>
      </c>
      <c r="U309" s="13">
        <f t="shared" si="142"/>
        <v>849.70967741935476</v>
      </c>
      <c r="V309" s="13">
        <f t="shared" si="132"/>
        <v>11177.193548387097</v>
      </c>
      <c r="X309" s="13">
        <f t="shared" si="129"/>
        <v>11177.193548387097</v>
      </c>
      <c r="Y309" s="12">
        <f t="shared" si="137"/>
        <v>699.91935483870964</v>
      </c>
      <c r="Z309" s="12">
        <f t="shared" si="133"/>
        <v>572</v>
      </c>
      <c r="AA309" s="1">
        <f t="shared" si="144"/>
        <v>0</v>
      </c>
      <c r="AB309" s="16">
        <f t="shared" si="143"/>
        <v>1271.9193548387098</v>
      </c>
      <c r="AC309" s="16">
        <f t="shared" si="134"/>
        <v>13298.822580645161</v>
      </c>
    </row>
    <row r="310" spans="1:29" x14ac:dyDescent="0.2">
      <c r="A310" s="10" t="s">
        <v>880</v>
      </c>
      <c r="B310" s="11">
        <f t="shared" si="138"/>
        <v>305</v>
      </c>
      <c r="C310" s="11" t="s">
        <v>737</v>
      </c>
      <c r="D310" s="19" t="s">
        <v>50</v>
      </c>
      <c r="E310" s="11" t="s">
        <v>234</v>
      </c>
      <c r="F310" s="20">
        <v>42931</v>
      </c>
      <c r="G310" s="11">
        <v>8</v>
      </c>
      <c r="H310" s="13">
        <f t="shared" si="130"/>
        <v>1290.3225806451612</v>
      </c>
      <c r="I310" s="13">
        <f t="shared" si="135"/>
        <v>0</v>
      </c>
      <c r="J310" s="13">
        <f t="shared" si="136"/>
        <v>64.516129032258064</v>
      </c>
      <c r="L310" s="13">
        <f t="shared" si="139"/>
        <v>206.45161290322579</v>
      </c>
      <c r="N310" s="13">
        <f t="shared" si="146"/>
        <v>1354.3225806451612</v>
      </c>
      <c r="P310" s="13">
        <f t="shared" si="141"/>
        <v>2915.6129032258063</v>
      </c>
      <c r="Q310" s="12">
        <f t="shared" si="131"/>
        <v>154.83870967741933</v>
      </c>
      <c r="R310" s="12">
        <f t="shared" si="128"/>
        <v>52</v>
      </c>
      <c r="S310" s="21">
        <v>0</v>
      </c>
      <c r="T310" s="13">
        <v>0</v>
      </c>
      <c r="U310" s="13">
        <f t="shared" si="142"/>
        <v>206.83870967741933</v>
      </c>
      <c r="V310" s="13">
        <f t="shared" si="132"/>
        <v>2708.7741935483868</v>
      </c>
      <c r="X310" s="13">
        <f t="shared" si="129"/>
        <v>2708.7741935483868</v>
      </c>
      <c r="Y310" s="12">
        <f t="shared" si="137"/>
        <v>169.67741935483872</v>
      </c>
      <c r="Z310" s="12">
        <f t="shared" si="133"/>
        <v>139</v>
      </c>
      <c r="AA310" s="1">
        <f t="shared" si="144"/>
        <v>0</v>
      </c>
      <c r="AB310" s="16">
        <f t="shared" si="143"/>
        <v>308.67741935483872</v>
      </c>
      <c r="AC310" s="16">
        <f t="shared" si="134"/>
        <v>3224.2903225806449</v>
      </c>
    </row>
    <row r="311" spans="1:29" x14ac:dyDescent="0.2">
      <c r="A311" s="10" t="s">
        <v>881</v>
      </c>
      <c r="B311" s="11">
        <f t="shared" si="138"/>
        <v>306</v>
      </c>
      <c r="C311" s="11" t="s">
        <v>738</v>
      </c>
      <c r="D311" s="19" t="s">
        <v>50</v>
      </c>
      <c r="E311" s="11" t="s">
        <v>234</v>
      </c>
      <c r="F311" s="20">
        <v>42931</v>
      </c>
      <c r="G311" s="11">
        <v>37</v>
      </c>
      <c r="H311" s="13">
        <f t="shared" si="130"/>
        <v>5967.7419354838703</v>
      </c>
      <c r="I311" s="13">
        <f t="shared" si="135"/>
        <v>0</v>
      </c>
      <c r="J311" s="13">
        <f t="shared" si="136"/>
        <v>298.38709677419354</v>
      </c>
      <c r="L311" s="13">
        <f t="shared" si="139"/>
        <v>954.83870967741927</v>
      </c>
      <c r="N311" s="13">
        <f t="shared" si="146"/>
        <v>6263.7419354838703</v>
      </c>
      <c r="P311" s="13">
        <f t="shared" si="141"/>
        <v>13484.709677419352</v>
      </c>
      <c r="Q311" s="12">
        <f t="shared" si="131"/>
        <v>716.1290322580644</v>
      </c>
      <c r="R311" s="12">
        <f t="shared" si="128"/>
        <v>236</v>
      </c>
      <c r="S311" s="21">
        <v>0</v>
      </c>
      <c r="T311" s="13">
        <v>0</v>
      </c>
      <c r="U311" s="13">
        <f t="shared" si="142"/>
        <v>952.1290322580644</v>
      </c>
      <c r="V311" s="13">
        <f t="shared" si="132"/>
        <v>12532.580645161288</v>
      </c>
      <c r="X311" s="13">
        <f t="shared" si="129"/>
        <v>12532.580645161288</v>
      </c>
      <c r="Y311" s="12">
        <f t="shared" si="137"/>
        <v>784.75806451612902</v>
      </c>
      <c r="Z311" s="12">
        <f t="shared" si="133"/>
        <v>641</v>
      </c>
      <c r="AA311" s="1">
        <f t="shared" si="144"/>
        <v>0</v>
      </c>
      <c r="AB311" s="16">
        <f t="shared" si="143"/>
        <v>1425.758064516129</v>
      </c>
      <c r="AC311" s="16">
        <f t="shared" si="134"/>
        <v>14910.467741935481</v>
      </c>
    </row>
    <row r="312" spans="1:29" x14ac:dyDescent="0.2">
      <c r="A312" s="10" t="s">
        <v>882</v>
      </c>
      <c r="B312" s="11">
        <f t="shared" si="138"/>
        <v>307</v>
      </c>
      <c r="C312" s="11" t="s">
        <v>739</v>
      </c>
      <c r="D312" s="19" t="s">
        <v>50</v>
      </c>
      <c r="E312" s="11" t="s">
        <v>484</v>
      </c>
      <c r="F312" s="20">
        <v>42931</v>
      </c>
      <c r="G312" s="11">
        <v>33</v>
      </c>
      <c r="H312" s="13">
        <f t="shared" si="130"/>
        <v>5322.5806451612898</v>
      </c>
      <c r="I312" s="13">
        <f t="shared" si="135"/>
        <v>0</v>
      </c>
      <c r="J312" s="13">
        <f t="shared" si="136"/>
        <v>266.12903225806451</v>
      </c>
      <c r="L312" s="13">
        <f t="shared" si="139"/>
        <v>851.61290322580635</v>
      </c>
      <c r="N312" s="13">
        <f t="shared" si="145"/>
        <v>4502.9032258064508</v>
      </c>
      <c r="P312" s="13">
        <f t="shared" si="141"/>
        <v>10943.225806451612</v>
      </c>
      <c r="Q312" s="12">
        <f t="shared" si="131"/>
        <v>638.70967741935476</v>
      </c>
      <c r="R312" s="12">
        <f t="shared" ref="R312:R375" si="147">ROUNDUP((P312*1.75%),0)</f>
        <v>192</v>
      </c>
      <c r="S312" s="21">
        <v>0</v>
      </c>
      <c r="T312" s="13">
        <v>0</v>
      </c>
      <c r="U312" s="13">
        <f t="shared" si="142"/>
        <v>830.70967741935476</v>
      </c>
      <c r="V312" s="13">
        <f t="shared" si="132"/>
        <v>10112.516129032258</v>
      </c>
      <c r="X312" s="13">
        <f t="shared" si="129"/>
        <v>10112.516129032258</v>
      </c>
      <c r="Y312" s="12">
        <f t="shared" si="137"/>
        <v>699.91935483870964</v>
      </c>
      <c r="Z312" s="12">
        <f t="shared" si="133"/>
        <v>520</v>
      </c>
      <c r="AA312" s="1">
        <f t="shared" si="144"/>
        <v>0</v>
      </c>
      <c r="AB312" s="16">
        <f t="shared" si="143"/>
        <v>1219.9193548387098</v>
      </c>
      <c r="AC312" s="16">
        <f t="shared" si="134"/>
        <v>12163.145161290322</v>
      </c>
    </row>
    <row r="313" spans="1:29" x14ac:dyDescent="0.2">
      <c r="A313" s="10" t="s">
        <v>883</v>
      </c>
      <c r="B313" s="11">
        <f t="shared" si="138"/>
        <v>308</v>
      </c>
      <c r="C313" s="11" t="s">
        <v>740</v>
      </c>
      <c r="D313" s="19" t="s">
        <v>50</v>
      </c>
      <c r="E313" s="11" t="s">
        <v>234</v>
      </c>
      <c r="F313" s="20">
        <v>42931</v>
      </c>
      <c r="G313" s="11">
        <v>37</v>
      </c>
      <c r="H313" s="13">
        <f t="shared" si="130"/>
        <v>5967.7419354838703</v>
      </c>
      <c r="I313" s="13">
        <f t="shared" si="135"/>
        <v>0</v>
      </c>
      <c r="J313" s="13">
        <f t="shared" si="136"/>
        <v>298.38709677419354</v>
      </c>
      <c r="L313" s="13">
        <f t="shared" si="139"/>
        <v>954.83870967741927</v>
      </c>
      <c r="N313" s="13">
        <f t="shared" si="146"/>
        <v>6263.7419354838703</v>
      </c>
      <c r="P313" s="13">
        <f t="shared" si="141"/>
        <v>13484.709677419352</v>
      </c>
      <c r="Q313" s="12">
        <f t="shared" si="131"/>
        <v>716.1290322580644</v>
      </c>
      <c r="R313" s="12">
        <f t="shared" si="147"/>
        <v>236</v>
      </c>
      <c r="S313" s="21">
        <v>0</v>
      </c>
      <c r="T313" s="13">
        <v>0</v>
      </c>
      <c r="U313" s="13">
        <f t="shared" si="142"/>
        <v>952.1290322580644</v>
      </c>
      <c r="V313" s="13">
        <f t="shared" si="132"/>
        <v>12532.580645161288</v>
      </c>
      <c r="X313" s="13">
        <f t="shared" si="129"/>
        <v>12532.580645161288</v>
      </c>
      <c r="Y313" s="12">
        <f t="shared" si="137"/>
        <v>784.75806451612902</v>
      </c>
      <c r="Z313" s="12">
        <f t="shared" si="133"/>
        <v>641</v>
      </c>
      <c r="AA313" s="1">
        <f t="shared" si="144"/>
        <v>0</v>
      </c>
      <c r="AB313" s="16">
        <f t="shared" si="143"/>
        <v>1425.758064516129</v>
      </c>
      <c r="AC313" s="16">
        <f t="shared" si="134"/>
        <v>14910.467741935481</v>
      </c>
    </row>
    <row r="314" spans="1:29" x14ac:dyDescent="0.2">
      <c r="A314" s="10" t="s">
        <v>884</v>
      </c>
      <c r="B314" s="11">
        <f t="shared" si="138"/>
        <v>309</v>
      </c>
      <c r="C314" s="11" t="s">
        <v>741</v>
      </c>
      <c r="D314" s="19" t="s">
        <v>50</v>
      </c>
      <c r="E314" s="11" t="s">
        <v>234</v>
      </c>
      <c r="F314" s="20">
        <v>42931</v>
      </c>
      <c r="G314" s="11">
        <v>7</v>
      </c>
      <c r="H314" s="13">
        <f t="shared" si="130"/>
        <v>1129.0322580645161</v>
      </c>
      <c r="I314" s="13">
        <f t="shared" si="135"/>
        <v>0</v>
      </c>
      <c r="J314" s="13">
        <f t="shared" si="136"/>
        <v>56.451612903225808</v>
      </c>
      <c r="L314" s="13">
        <f t="shared" si="139"/>
        <v>180.64516129032256</v>
      </c>
      <c r="N314" s="13">
        <f t="shared" si="146"/>
        <v>1185.0322580645161</v>
      </c>
      <c r="P314" s="13">
        <f t="shared" si="141"/>
        <v>2551.1612903225805</v>
      </c>
      <c r="Q314" s="12">
        <f t="shared" si="131"/>
        <v>135.48387096774192</v>
      </c>
      <c r="R314" s="12">
        <f t="shared" si="147"/>
        <v>45</v>
      </c>
      <c r="S314" s="21">
        <v>0</v>
      </c>
      <c r="T314" s="13">
        <v>0</v>
      </c>
      <c r="U314" s="13">
        <f t="shared" si="142"/>
        <v>180.48387096774192</v>
      </c>
      <c r="V314" s="13">
        <f t="shared" si="132"/>
        <v>2370.6774193548385</v>
      </c>
      <c r="X314" s="13">
        <f t="shared" si="129"/>
        <v>2370.6774193548385</v>
      </c>
      <c r="Y314" s="12">
        <f t="shared" si="137"/>
        <v>148.46774193548387</v>
      </c>
      <c r="Z314" s="12">
        <f t="shared" si="133"/>
        <v>122</v>
      </c>
      <c r="AA314" s="1">
        <f t="shared" si="144"/>
        <v>0</v>
      </c>
      <c r="AB314" s="16">
        <f t="shared" si="143"/>
        <v>270.4677419354839</v>
      </c>
      <c r="AC314" s="16">
        <f t="shared" si="134"/>
        <v>2821.6290322580644</v>
      </c>
    </row>
    <row r="315" spans="1:29" x14ac:dyDescent="0.2">
      <c r="A315" s="10" t="s">
        <v>885</v>
      </c>
      <c r="B315" s="11">
        <f t="shared" si="138"/>
        <v>310</v>
      </c>
      <c r="C315" s="11" t="s">
        <v>742</v>
      </c>
      <c r="D315" s="19" t="s">
        <v>50</v>
      </c>
      <c r="E315" s="11" t="s">
        <v>234</v>
      </c>
      <c r="F315" s="20">
        <v>42931</v>
      </c>
      <c r="G315" s="11">
        <v>30</v>
      </c>
      <c r="H315" s="13">
        <f t="shared" si="130"/>
        <v>4838.7096774193542</v>
      </c>
      <c r="I315" s="13">
        <f t="shared" si="135"/>
        <v>0</v>
      </c>
      <c r="J315" s="13">
        <f t="shared" si="136"/>
        <v>241.93548387096772</v>
      </c>
      <c r="L315" s="13">
        <f t="shared" si="139"/>
        <v>774.19354838709671</v>
      </c>
      <c r="N315" s="13">
        <f t="shared" si="146"/>
        <v>5078.7096774193542</v>
      </c>
      <c r="P315" s="13">
        <f t="shared" si="141"/>
        <v>10933.548387096773</v>
      </c>
      <c r="Q315" s="12">
        <f t="shared" si="131"/>
        <v>580.64516129032245</v>
      </c>
      <c r="R315" s="12">
        <f t="shared" si="147"/>
        <v>192</v>
      </c>
      <c r="S315" s="21">
        <v>0</v>
      </c>
      <c r="T315" s="13">
        <v>0</v>
      </c>
      <c r="U315" s="13">
        <f t="shared" si="142"/>
        <v>772.64516129032245</v>
      </c>
      <c r="V315" s="13">
        <f t="shared" si="132"/>
        <v>10160.903225806451</v>
      </c>
      <c r="X315" s="13">
        <f t="shared" si="129"/>
        <v>10160.903225806451</v>
      </c>
      <c r="Y315" s="12">
        <f t="shared" si="137"/>
        <v>636.29032258064512</v>
      </c>
      <c r="Z315" s="12">
        <f t="shared" si="133"/>
        <v>520</v>
      </c>
      <c r="AA315" s="1">
        <f t="shared" si="144"/>
        <v>0</v>
      </c>
      <c r="AB315" s="16">
        <f t="shared" si="143"/>
        <v>1156.2903225806451</v>
      </c>
      <c r="AC315" s="16">
        <f t="shared" si="134"/>
        <v>12089.838709677419</v>
      </c>
    </row>
    <row r="316" spans="1:29" x14ac:dyDescent="0.2">
      <c r="A316" s="10" t="s">
        <v>886</v>
      </c>
      <c r="B316" s="11">
        <f t="shared" si="138"/>
        <v>311</v>
      </c>
      <c r="C316" s="17" t="s">
        <v>743</v>
      </c>
      <c r="D316" s="19" t="s">
        <v>50</v>
      </c>
      <c r="E316" s="11" t="s">
        <v>234</v>
      </c>
      <c r="F316" s="20">
        <v>42737</v>
      </c>
      <c r="G316" s="11">
        <v>31</v>
      </c>
      <c r="H316" s="13">
        <f t="shared" si="130"/>
        <v>5000</v>
      </c>
      <c r="I316" s="13">
        <f t="shared" si="135"/>
        <v>0</v>
      </c>
      <c r="J316" s="13">
        <f t="shared" si="136"/>
        <v>250</v>
      </c>
      <c r="L316" s="13">
        <f t="shared" si="139"/>
        <v>800</v>
      </c>
      <c r="N316" s="13">
        <f>((8811)/G$3)*G316</f>
        <v>8811</v>
      </c>
      <c r="O316" s="13">
        <v>2184</v>
      </c>
      <c r="P316" s="13">
        <f t="shared" si="141"/>
        <v>17045</v>
      </c>
      <c r="Q316" s="12">
        <f t="shared" si="131"/>
        <v>600</v>
      </c>
      <c r="R316" s="12">
        <f t="shared" si="147"/>
        <v>299</v>
      </c>
      <c r="S316" s="21">
        <v>0</v>
      </c>
      <c r="T316" s="13">
        <v>0</v>
      </c>
      <c r="U316" s="13">
        <f t="shared" si="142"/>
        <v>899</v>
      </c>
      <c r="V316" s="13">
        <f t="shared" si="132"/>
        <v>16146</v>
      </c>
      <c r="W316" s="13">
        <v>2146</v>
      </c>
      <c r="X316" s="13">
        <f t="shared" si="129"/>
        <v>14000</v>
      </c>
      <c r="Y316" s="12">
        <f t="shared" si="137"/>
        <v>657.5</v>
      </c>
      <c r="Z316" s="12">
        <f t="shared" si="133"/>
        <v>810</v>
      </c>
      <c r="AA316" s="1">
        <f t="shared" si="144"/>
        <v>0</v>
      </c>
      <c r="AB316" s="16">
        <f t="shared" si="143"/>
        <v>1467.5</v>
      </c>
      <c r="AC316" s="16">
        <f t="shared" si="134"/>
        <v>18512.5</v>
      </c>
    </row>
    <row r="317" spans="1:29" x14ac:dyDescent="0.2">
      <c r="A317" s="10" t="s">
        <v>887</v>
      </c>
      <c r="B317" s="11">
        <f t="shared" si="138"/>
        <v>312</v>
      </c>
      <c r="C317" s="11" t="s">
        <v>744</v>
      </c>
      <c r="D317" s="19" t="s">
        <v>50</v>
      </c>
      <c r="E317" s="11" t="s">
        <v>234</v>
      </c>
      <c r="F317" s="20">
        <v>42932</v>
      </c>
      <c r="G317" s="11">
        <v>10</v>
      </c>
      <c r="H317" s="13">
        <f t="shared" si="130"/>
        <v>1612.9032258064515</v>
      </c>
      <c r="I317" s="13">
        <f t="shared" si="135"/>
        <v>0</v>
      </c>
      <c r="J317" s="13">
        <f t="shared" si="136"/>
        <v>80.645161290322577</v>
      </c>
      <c r="L317" s="13">
        <f t="shared" si="139"/>
        <v>258.06451612903226</v>
      </c>
      <c r="N317" s="13">
        <f t="shared" si="146"/>
        <v>1692.9032258064515</v>
      </c>
      <c r="P317" s="13">
        <f t="shared" si="141"/>
        <v>3644.5161290322576</v>
      </c>
      <c r="Q317" s="12">
        <f t="shared" si="131"/>
        <v>193.54838709677418</v>
      </c>
      <c r="R317" s="12">
        <f t="shared" si="147"/>
        <v>64</v>
      </c>
      <c r="S317" s="21">
        <v>0</v>
      </c>
      <c r="T317" s="13">
        <v>0</v>
      </c>
      <c r="U317" s="13">
        <f t="shared" si="142"/>
        <v>257.54838709677415</v>
      </c>
      <c r="V317" s="13">
        <f t="shared" si="132"/>
        <v>3386.9677419354834</v>
      </c>
      <c r="X317" s="13">
        <f t="shared" si="129"/>
        <v>3386.9677419354834</v>
      </c>
      <c r="Y317" s="12">
        <f t="shared" si="137"/>
        <v>212.09677419354838</v>
      </c>
      <c r="Z317" s="12">
        <f t="shared" si="133"/>
        <v>174</v>
      </c>
      <c r="AA317" s="1">
        <f t="shared" si="144"/>
        <v>0</v>
      </c>
      <c r="AB317" s="16">
        <f t="shared" si="143"/>
        <v>386.09677419354841</v>
      </c>
      <c r="AC317" s="16">
        <f t="shared" si="134"/>
        <v>4030.6129032258059</v>
      </c>
    </row>
    <row r="318" spans="1:29" x14ac:dyDescent="0.2">
      <c r="A318" s="10" t="s">
        <v>888</v>
      </c>
      <c r="B318" s="11">
        <f t="shared" si="138"/>
        <v>313</v>
      </c>
      <c r="C318" s="11" t="s">
        <v>745</v>
      </c>
      <c r="D318" s="19" t="s">
        <v>50</v>
      </c>
      <c r="E318" s="11" t="s">
        <v>234</v>
      </c>
      <c r="F318" s="20">
        <v>42930</v>
      </c>
      <c r="G318" s="11">
        <v>27</v>
      </c>
      <c r="H318" s="13">
        <f t="shared" si="130"/>
        <v>4354.8387096774195</v>
      </c>
      <c r="I318" s="13">
        <f t="shared" si="135"/>
        <v>0</v>
      </c>
      <c r="J318" s="13">
        <f t="shared" si="136"/>
        <v>217.74193548387098</v>
      </c>
      <c r="L318" s="13">
        <f t="shared" si="139"/>
        <v>696.77419354838707</v>
      </c>
      <c r="N318" s="13">
        <f t="shared" si="146"/>
        <v>4570.8387096774195</v>
      </c>
      <c r="P318" s="13">
        <f t="shared" si="141"/>
        <v>9840.1935483870984</v>
      </c>
      <c r="Q318" s="12">
        <f t="shared" si="131"/>
        <v>522.58064516129036</v>
      </c>
      <c r="R318" s="12">
        <f t="shared" si="147"/>
        <v>173</v>
      </c>
      <c r="S318" s="21">
        <v>0</v>
      </c>
      <c r="T318" s="13">
        <v>0</v>
      </c>
      <c r="U318" s="13">
        <f t="shared" si="142"/>
        <v>695.58064516129036</v>
      </c>
      <c r="V318" s="13">
        <f t="shared" si="132"/>
        <v>9144.6129032258086</v>
      </c>
      <c r="X318" s="13">
        <f t="shared" si="129"/>
        <v>9144.6129032258086</v>
      </c>
      <c r="Y318" s="12">
        <f t="shared" si="137"/>
        <v>572.66129032258073</v>
      </c>
      <c r="Z318" s="12">
        <f t="shared" si="133"/>
        <v>468</v>
      </c>
      <c r="AA318" s="1">
        <f t="shared" si="144"/>
        <v>0</v>
      </c>
      <c r="AB318" s="16">
        <f t="shared" si="143"/>
        <v>1040.6612903225807</v>
      </c>
      <c r="AC318" s="16">
        <f t="shared" si="134"/>
        <v>10880.85483870968</v>
      </c>
    </row>
    <row r="319" spans="1:29" x14ac:dyDescent="0.2">
      <c r="A319" s="10" t="s">
        <v>889</v>
      </c>
      <c r="B319" s="11">
        <f t="shared" si="138"/>
        <v>314</v>
      </c>
      <c r="C319" s="11" t="s">
        <v>746</v>
      </c>
      <c r="D319" s="19" t="s">
        <v>50</v>
      </c>
      <c r="E319" s="11" t="s">
        <v>234</v>
      </c>
      <c r="F319" s="20">
        <v>42931</v>
      </c>
      <c r="G319" s="11">
        <v>9</v>
      </c>
      <c r="H319" s="13">
        <f t="shared" si="130"/>
        <v>1451.6129032258063</v>
      </c>
      <c r="I319" s="13">
        <f t="shared" si="135"/>
        <v>0</v>
      </c>
      <c r="J319" s="13">
        <f t="shared" si="136"/>
        <v>72.58064516129032</v>
      </c>
      <c r="L319" s="13">
        <f t="shared" si="139"/>
        <v>232.25806451612902</v>
      </c>
      <c r="N319" s="13">
        <f t="shared" si="146"/>
        <v>1523.6129032258063</v>
      </c>
      <c r="P319" s="13">
        <f t="shared" si="141"/>
        <v>3280.0645161290322</v>
      </c>
      <c r="Q319" s="12">
        <f t="shared" si="131"/>
        <v>174.19354838709677</v>
      </c>
      <c r="R319" s="12">
        <f t="shared" si="147"/>
        <v>58</v>
      </c>
      <c r="S319" s="21">
        <v>0</v>
      </c>
      <c r="T319" s="13">
        <v>0</v>
      </c>
      <c r="U319" s="13">
        <f t="shared" si="142"/>
        <v>232.19354838709677</v>
      </c>
      <c r="V319" s="13">
        <f t="shared" si="132"/>
        <v>3047.8709677419356</v>
      </c>
      <c r="X319" s="13">
        <f t="shared" si="129"/>
        <v>3047.8709677419356</v>
      </c>
      <c r="Y319" s="12">
        <f t="shared" si="137"/>
        <v>190.88709677419354</v>
      </c>
      <c r="Z319" s="12">
        <f t="shared" si="133"/>
        <v>156</v>
      </c>
      <c r="AA319" s="1">
        <f t="shared" si="144"/>
        <v>0</v>
      </c>
      <c r="AB319" s="16">
        <f t="shared" si="143"/>
        <v>346.88709677419354</v>
      </c>
      <c r="AC319" s="16">
        <f t="shared" si="134"/>
        <v>3626.9516129032259</v>
      </c>
    </row>
    <row r="320" spans="1:29" x14ac:dyDescent="0.2">
      <c r="A320" s="10" t="s">
        <v>890</v>
      </c>
      <c r="B320" s="11">
        <f t="shared" si="138"/>
        <v>315</v>
      </c>
      <c r="C320" s="11" t="s">
        <v>747</v>
      </c>
      <c r="D320" s="19" t="s">
        <v>50</v>
      </c>
      <c r="E320" s="11" t="s">
        <v>234</v>
      </c>
      <c r="F320" s="20">
        <v>42931</v>
      </c>
      <c r="G320" s="11">
        <v>15</v>
      </c>
      <c r="H320" s="13">
        <f t="shared" si="130"/>
        <v>2419.3548387096771</v>
      </c>
      <c r="I320" s="13">
        <f t="shared" si="135"/>
        <v>0</v>
      </c>
      <c r="J320" s="13">
        <f t="shared" si="136"/>
        <v>120.96774193548386</v>
      </c>
      <c r="L320" s="13">
        <f t="shared" si="139"/>
        <v>387.09677419354836</v>
      </c>
      <c r="N320" s="13">
        <f t="shared" si="146"/>
        <v>2539.3548387096771</v>
      </c>
      <c r="P320" s="13">
        <f t="shared" si="141"/>
        <v>5466.7741935483864</v>
      </c>
      <c r="Q320" s="12">
        <f t="shared" si="131"/>
        <v>290.32258064516122</v>
      </c>
      <c r="R320" s="12">
        <f t="shared" si="147"/>
        <v>96</v>
      </c>
      <c r="S320" s="21">
        <v>0</v>
      </c>
      <c r="T320" s="13">
        <v>0</v>
      </c>
      <c r="U320" s="13">
        <f t="shared" si="142"/>
        <v>386.32258064516122</v>
      </c>
      <c r="V320" s="13">
        <f t="shared" si="132"/>
        <v>5080.4516129032254</v>
      </c>
      <c r="X320" s="13">
        <f t="shared" si="129"/>
        <v>5080.4516129032254</v>
      </c>
      <c r="Y320" s="12">
        <f t="shared" si="137"/>
        <v>318.14516129032256</v>
      </c>
      <c r="Z320" s="12">
        <f t="shared" si="133"/>
        <v>260</v>
      </c>
      <c r="AA320" s="1">
        <f t="shared" si="144"/>
        <v>0</v>
      </c>
      <c r="AB320" s="16">
        <f t="shared" si="143"/>
        <v>578.14516129032256</v>
      </c>
      <c r="AC320" s="16">
        <f t="shared" si="134"/>
        <v>6044.9193548387093</v>
      </c>
    </row>
    <row r="321" spans="1:29" x14ac:dyDescent="0.2">
      <c r="A321" s="10" t="s">
        <v>891</v>
      </c>
      <c r="B321" s="11">
        <f t="shared" si="138"/>
        <v>316</v>
      </c>
      <c r="C321" s="11" t="s">
        <v>748</v>
      </c>
      <c r="D321" s="19" t="s">
        <v>50</v>
      </c>
      <c r="E321" s="11" t="s">
        <v>234</v>
      </c>
      <c r="F321" s="20">
        <v>42933</v>
      </c>
      <c r="G321" s="11">
        <v>8</v>
      </c>
      <c r="H321" s="13">
        <f t="shared" si="130"/>
        <v>1290.3225806451612</v>
      </c>
      <c r="I321" s="13">
        <f t="shared" si="135"/>
        <v>0</v>
      </c>
      <c r="J321" s="13">
        <f t="shared" si="136"/>
        <v>64.516129032258064</v>
      </c>
      <c r="L321" s="13">
        <f t="shared" si="139"/>
        <v>206.45161290322579</v>
      </c>
      <c r="N321" s="13">
        <f t="shared" si="146"/>
        <v>1354.3225806451612</v>
      </c>
      <c r="P321" s="13">
        <f t="shared" si="141"/>
        <v>2915.6129032258063</v>
      </c>
      <c r="Q321" s="12">
        <f t="shared" si="131"/>
        <v>154.83870967741933</v>
      </c>
      <c r="R321" s="12">
        <f t="shared" si="147"/>
        <v>52</v>
      </c>
      <c r="S321" s="21">
        <v>0</v>
      </c>
      <c r="T321" s="13">
        <v>0</v>
      </c>
      <c r="U321" s="13">
        <f t="shared" si="142"/>
        <v>206.83870967741933</v>
      </c>
      <c r="V321" s="13">
        <f t="shared" si="132"/>
        <v>2708.7741935483868</v>
      </c>
      <c r="X321" s="13">
        <f t="shared" si="129"/>
        <v>2708.7741935483868</v>
      </c>
      <c r="Y321" s="12">
        <f t="shared" si="137"/>
        <v>169.67741935483872</v>
      </c>
      <c r="Z321" s="12">
        <f t="shared" si="133"/>
        <v>139</v>
      </c>
      <c r="AA321" s="1">
        <f t="shared" si="144"/>
        <v>0</v>
      </c>
      <c r="AB321" s="16">
        <f t="shared" si="143"/>
        <v>308.67741935483872</v>
      </c>
      <c r="AC321" s="16">
        <f t="shared" si="134"/>
        <v>3224.2903225806449</v>
      </c>
    </row>
    <row r="322" spans="1:29" x14ac:dyDescent="0.2">
      <c r="A322" s="10" t="s">
        <v>892</v>
      </c>
      <c r="B322" s="11">
        <f t="shared" si="138"/>
        <v>317</v>
      </c>
      <c r="C322" s="11" t="s">
        <v>749</v>
      </c>
      <c r="D322" s="19" t="s">
        <v>50</v>
      </c>
      <c r="E322" s="11" t="s">
        <v>234</v>
      </c>
      <c r="F322" s="20">
        <v>42944</v>
      </c>
      <c r="G322" s="11">
        <v>5</v>
      </c>
      <c r="H322" s="13">
        <f t="shared" si="130"/>
        <v>806.45161290322574</v>
      </c>
      <c r="I322" s="13">
        <f t="shared" si="135"/>
        <v>0</v>
      </c>
      <c r="J322" s="13">
        <f t="shared" si="136"/>
        <v>40.322580645161288</v>
      </c>
      <c r="L322" s="13">
        <f t="shared" si="139"/>
        <v>129.03225806451613</v>
      </c>
      <c r="N322" s="13">
        <f t="shared" si="146"/>
        <v>846.45161290322574</v>
      </c>
      <c r="P322" s="13">
        <f t="shared" si="141"/>
        <v>1822.2580645161288</v>
      </c>
      <c r="Q322" s="12">
        <f t="shared" si="131"/>
        <v>96.774193548387089</v>
      </c>
      <c r="R322" s="12">
        <f t="shared" si="147"/>
        <v>32</v>
      </c>
      <c r="S322" s="21">
        <v>0</v>
      </c>
      <c r="T322" s="13">
        <v>0</v>
      </c>
      <c r="U322" s="13">
        <f t="shared" si="142"/>
        <v>128.77419354838707</v>
      </c>
      <c r="V322" s="13">
        <f t="shared" si="132"/>
        <v>1693.4838709677417</v>
      </c>
      <c r="X322" s="13">
        <f t="shared" si="129"/>
        <v>1693.4838709677417</v>
      </c>
      <c r="Y322" s="12">
        <f t="shared" si="137"/>
        <v>106.04838709677419</v>
      </c>
      <c r="Z322" s="12">
        <f t="shared" si="133"/>
        <v>87</v>
      </c>
      <c r="AA322" s="1">
        <f t="shared" si="144"/>
        <v>0</v>
      </c>
      <c r="AB322" s="16">
        <f t="shared" si="143"/>
        <v>193.04838709677421</v>
      </c>
      <c r="AC322" s="16">
        <f t="shared" si="134"/>
        <v>2015.3064516129029</v>
      </c>
    </row>
    <row r="323" spans="1:29" x14ac:dyDescent="0.2">
      <c r="A323" s="10" t="s">
        <v>893</v>
      </c>
      <c r="B323" s="11">
        <f t="shared" si="138"/>
        <v>318</v>
      </c>
      <c r="C323" s="11" t="s">
        <v>750</v>
      </c>
      <c r="D323" s="19" t="s">
        <v>50</v>
      </c>
      <c r="E323" s="11" t="s">
        <v>234</v>
      </c>
      <c r="F323" s="20">
        <v>42934</v>
      </c>
      <c r="G323" s="11">
        <v>18</v>
      </c>
      <c r="H323" s="13">
        <f t="shared" si="130"/>
        <v>2903.2258064516127</v>
      </c>
      <c r="I323" s="13">
        <f t="shared" si="135"/>
        <v>0</v>
      </c>
      <c r="J323" s="13">
        <f t="shared" si="136"/>
        <v>145.16129032258064</v>
      </c>
      <c r="L323" s="13">
        <f t="shared" si="139"/>
        <v>464.51612903225805</v>
      </c>
      <c r="N323" s="13">
        <f t="shared" si="146"/>
        <v>3047.2258064516127</v>
      </c>
      <c r="P323" s="13">
        <f t="shared" si="141"/>
        <v>6560.1290322580644</v>
      </c>
      <c r="Q323" s="12">
        <f t="shared" si="131"/>
        <v>348.38709677419354</v>
      </c>
      <c r="R323" s="12">
        <f t="shared" si="147"/>
        <v>115</v>
      </c>
      <c r="S323" s="21">
        <v>0</v>
      </c>
      <c r="T323" s="13">
        <v>0</v>
      </c>
      <c r="U323" s="13">
        <f t="shared" si="142"/>
        <v>463.38709677419354</v>
      </c>
      <c r="V323" s="13">
        <f t="shared" si="132"/>
        <v>6096.7419354838712</v>
      </c>
      <c r="X323" s="13">
        <f t="shared" ref="X323:X386" si="148">V323-W323</f>
        <v>6096.7419354838712</v>
      </c>
      <c r="Y323" s="12">
        <f t="shared" si="137"/>
        <v>381.77419354838707</v>
      </c>
      <c r="Z323" s="12">
        <f t="shared" si="133"/>
        <v>312</v>
      </c>
      <c r="AA323" s="1">
        <f t="shared" si="144"/>
        <v>0</v>
      </c>
      <c r="AB323" s="16">
        <f t="shared" si="143"/>
        <v>693.77419354838707</v>
      </c>
      <c r="AC323" s="16">
        <f t="shared" si="134"/>
        <v>7253.9032258064517</v>
      </c>
    </row>
    <row r="324" spans="1:29" x14ac:dyDescent="0.2">
      <c r="A324" s="10" t="s">
        <v>894</v>
      </c>
      <c r="B324" s="11">
        <f t="shared" si="138"/>
        <v>319</v>
      </c>
      <c r="C324" s="11" t="s">
        <v>751</v>
      </c>
      <c r="D324" s="19" t="s">
        <v>50</v>
      </c>
      <c r="E324" s="11" t="s">
        <v>234</v>
      </c>
      <c r="F324" s="20">
        <v>42934</v>
      </c>
      <c r="G324" s="11">
        <v>32</v>
      </c>
      <c r="H324" s="13">
        <f t="shared" si="130"/>
        <v>5161.2903225806449</v>
      </c>
      <c r="I324" s="13">
        <f t="shared" si="135"/>
        <v>0</v>
      </c>
      <c r="J324" s="13">
        <f t="shared" si="136"/>
        <v>258.06451612903226</v>
      </c>
      <c r="L324" s="13">
        <f t="shared" si="139"/>
        <v>825.80645161290317</v>
      </c>
      <c r="N324" s="13">
        <f t="shared" si="146"/>
        <v>5417.2903225806449</v>
      </c>
      <c r="P324" s="13">
        <f t="shared" si="141"/>
        <v>11662.451612903225</v>
      </c>
      <c r="Q324" s="12">
        <f t="shared" si="131"/>
        <v>619.35483870967732</v>
      </c>
      <c r="R324" s="12">
        <f t="shared" si="147"/>
        <v>205</v>
      </c>
      <c r="S324" s="21">
        <v>0</v>
      </c>
      <c r="T324" s="13">
        <v>0</v>
      </c>
      <c r="U324" s="13">
        <f t="shared" si="142"/>
        <v>824.35483870967732</v>
      </c>
      <c r="V324" s="13">
        <f t="shared" si="132"/>
        <v>10838.096774193547</v>
      </c>
      <c r="X324" s="13">
        <f t="shared" si="148"/>
        <v>10838.096774193547</v>
      </c>
      <c r="Y324" s="12">
        <f t="shared" si="137"/>
        <v>678.70967741935488</v>
      </c>
      <c r="Z324" s="12">
        <f t="shared" si="133"/>
        <v>554</v>
      </c>
      <c r="AA324" s="1">
        <f t="shared" si="144"/>
        <v>0</v>
      </c>
      <c r="AB324" s="16">
        <f t="shared" si="143"/>
        <v>1232.7096774193549</v>
      </c>
      <c r="AC324" s="16">
        <f t="shared" si="134"/>
        <v>12895.16129032258</v>
      </c>
    </row>
    <row r="325" spans="1:29" x14ac:dyDescent="0.2">
      <c r="A325" s="10" t="s">
        <v>895</v>
      </c>
      <c r="B325" s="11">
        <f t="shared" si="138"/>
        <v>320</v>
      </c>
      <c r="C325" s="11" t="s">
        <v>752</v>
      </c>
      <c r="D325" s="19" t="s">
        <v>50</v>
      </c>
      <c r="E325" s="11" t="s">
        <v>234</v>
      </c>
      <c r="F325" s="20">
        <v>42931</v>
      </c>
      <c r="G325" s="11">
        <v>8</v>
      </c>
      <c r="H325" s="13">
        <f t="shared" si="130"/>
        <v>1290.3225806451612</v>
      </c>
      <c r="I325" s="13">
        <f t="shared" si="135"/>
        <v>0</v>
      </c>
      <c r="J325" s="13">
        <f t="shared" si="136"/>
        <v>64.516129032258064</v>
      </c>
      <c r="L325" s="13">
        <f t="shared" si="139"/>
        <v>206.45161290322579</v>
      </c>
      <c r="N325" s="13">
        <f t="shared" si="146"/>
        <v>1354.3225806451612</v>
      </c>
      <c r="P325" s="13">
        <f t="shared" si="141"/>
        <v>2915.6129032258063</v>
      </c>
      <c r="Q325" s="12">
        <f t="shared" si="131"/>
        <v>154.83870967741933</v>
      </c>
      <c r="R325" s="12">
        <f t="shared" si="147"/>
        <v>52</v>
      </c>
      <c r="S325" s="21">
        <v>0</v>
      </c>
      <c r="T325" s="13">
        <v>0</v>
      </c>
      <c r="U325" s="13">
        <f t="shared" si="142"/>
        <v>206.83870967741933</v>
      </c>
      <c r="V325" s="13">
        <f t="shared" si="132"/>
        <v>2708.7741935483868</v>
      </c>
      <c r="X325" s="13">
        <f t="shared" si="148"/>
        <v>2708.7741935483868</v>
      </c>
      <c r="Y325" s="12">
        <f t="shared" si="137"/>
        <v>169.67741935483872</v>
      </c>
      <c r="Z325" s="12">
        <f t="shared" si="133"/>
        <v>139</v>
      </c>
      <c r="AA325" s="1">
        <f t="shared" si="144"/>
        <v>0</v>
      </c>
      <c r="AB325" s="16">
        <f t="shared" si="143"/>
        <v>308.67741935483872</v>
      </c>
      <c r="AC325" s="16">
        <f t="shared" si="134"/>
        <v>3224.2903225806449</v>
      </c>
    </row>
    <row r="326" spans="1:29" x14ac:dyDescent="0.2">
      <c r="A326" s="10" t="s">
        <v>896</v>
      </c>
      <c r="B326" s="11">
        <f t="shared" si="138"/>
        <v>321</v>
      </c>
      <c r="C326" s="11" t="s">
        <v>753</v>
      </c>
      <c r="D326" s="19" t="s">
        <v>50</v>
      </c>
      <c r="E326" s="11" t="s">
        <v>234</v>
      </c>
      <c r="F326" s="20">
        <v>42941</v>
      </c>
      <c r="G326" s="11">
        <v>34</v>
      </c>
      <c r="H326" s="13">
        <f t="shared" ref="H326:H389" si="149">(5000/G$3)*G326</f>
        <v>5483.8709677419356</v>
      </c>
      <c r="I326" s="13">
        <f t="shared" si="135"/>
        <v>0</v>
      </c>
      <c r="J326" s="13">
        <f t="shared" si="136"/>
        <v>274.19354838709677</v>
      </c>
      <c r="L326" s="13">
        <f t="shared" si="139"/>
        <v>877.41935483870964</v>
      </c>
      <c r="N326" s="13">
        <f t="shared" si="146"/>
        <v>5755.8709677419356</v>
      </c>
      <c r="P326" s="13">
        <f t="shared" si="141"/>
        <v>12391.354838709678</v>
      </c>
      <c r="Q326" s="12">
        <f t="shared" ref="Q326:Q389" si="150">(H326+I326)*12%</f>
        <v>658.0645161290322</v>
      </c>
      <c r="R326" s="12">
        <f t="shared" si="147"/>
        <v>217</v>
      </c>
      <c r="S326" s="21">
        <v>0</v>
      </c>
      <c r="T326" s="13">
        <v>0</v>
      </c>
      <c r="U326" s="13">
        <f t="shared" si="142"/>
        <v>875.0645161290322</v>
      </c>
      <c r="V326" s="13">
        <f t="shared" ref="V326:V389" si="151">P326-U326</f>
        <v>11516.290322580646</v>
      </c>
      <c r="X326" s="13">
        <f t="shared" si="148"/>
        <v>11516.290322580646</v>
      </c>
      <c r="Y326" s="12">
        <f t="shared" si="137"/>
        <v>721.12903225806451</v>
      </c>
      <c r="Z326" s="12">
        <f t="shared" ref="Z326:Z389" si="152">CEILING((P326)*4.75%,1)</f>
        <v>589</v>
      </c>
      <c r="AA326" s="1">
        <f t="shared" si="144"/>
        <v>0</v>
      </c>
      <c r="AB326" s="16">
        <f t="shared" si="143"/>
        <v>1310.1290322580644</v>
      </c>
      <c r="AC326" s="16">
        <f t="shared" ref="AC326:AC389" si="153">P326+AB326</f>
        <v>13701.483870967742</v>
      </c>
    </row>
    <row r="327" spans="1:29" x14ac:dyDescent="0.2">
      <c r="A327" s="10" t="s">
        <v>897</v>
      </c>
      <c r="B327" s="11">
        <f t="shared" si="138"/>
        <v>322</v>
      </c>
      <c r="C327" s="11" t="s">
        <v>754</v>
      </c>
      <c r="D327" s="19" t="s">
        <v>50</v>
      </c>
      <c r="E327" s="11" t="s">
        <v>237</v>
      </c>
      <c r="F327" s="20">
        <v>42934</v>
      </c>
      <c r="G327" s="11">
        <v>30</v>
      </c>
      <c r="H327" s="13">
        <f t="shared" si="149"/>
        <v>4838.7096774193542</v>
      </c>
      <c r="I327" s="13">
        <f t="shared" ref="I327:I390" si="154">((0)/G$3)*G327</f>
        <v>0</v>
      </c>
      <c r="J327" s="13">
        <f t="shared" ref="J327:J390" si="155">(H327+I327)*5%</f>
        <v>241.93548387096772</v>
      </c>
      <c r="L327" s="13">
        <f t="shared" si="139"/>
        <v>774.19354838709671</v>
      </c>
      <c r="N327" s="13">
        <f>((1950+1441-178+1017+509)/G$3)*G327</f>
        <v>4586.1290322580644</v>
      </c>
      <c r="P327" s="13">
        <f t="shared" si="141"/>
        <v>10440.967741935483</v>
      </c>
      <c r="Q327" s="12">
        <f t="shared" si="150"/>
        <v>580.64516129032245</v>
      </c>
      <c r="R327" s="12">
        <f t="shared" si="147"/>
        <v>183</v>
      </c>
      <c r="S327" s="21">
        <v>0</v>
      </c>
      <c r="T327" s="13">
        <v>0</v>
      </c>
      <c r="U327" s="13">
        <f t="shared" si="142"/>
        <v>763.64516129032245</v>
      </c>
      <c r="V327" s="13">
        <f t="shared" si="151"/>
        <v>9677.322580645161</v>
      </c>
      <c r="X327" s="13">
        <f t="shared" si="148"/>
        <v>9677.322580645161</v>
      </c>
      <c r="Y327" s="12">
        <f t="shared" ref="Y327:Y390" si="156">(H327+I327)*13.15%</f>
        <v>636.29032258064512</v>
      </c>
      <c r="Z327" s="12">
        <f t="shared" si="152"/>
        <v>496</v>
      </c>
      <c r="AA327" s="1">
        <f t="shared" si="144"/>
        <v>0</v>
      </c>
      <c r="AB327" s="16">
        <f t="shared" si="143"/>
        <v>1132.2903225806451</v>
      </c>
      <c r="AC327" s="16">
        <f t="shared" si="153"/>
        <v>11573.258064516129</v>
      </c>
    </row>
    <row r="328" spans="1:29" x14ac:dyDescent="0.2">
      <c r="A328" s="10" t="s">
        <v>898</v>
      </c>
      <c r="B328" s="11">
        <f t="shared" ref="B328:B391" si="157">B327+1</f>
        <v>323</v>
      </c>
      <c r="C328" s="11" t="s">
        <v>755</v>
      </c>
      <c r="D328" s="19" t="s">
        <v>50</v>
      </c>
      <c r="E328" s="11" t="s">
        <v>237</v>
      </c>
      <c r="F328" s="20">
        <v>42930</v>
      </c>
      <c r="G328" s="11">
        <v>29</v>
      </c>
      <c r="H328" s="13">
        <f t="shared" si="149"/>
        <v>4677.4193548387093</v>
      </c>
      <c r="I328" s="13">
        <f t="shared" si="154"/>
        <v>0</v>
      </c>
      <c r="J328" s="13">
        <f t="shared" si="155"/>
        <v>233.87096774193549</v>
      </c>
      <c r="L328" s="13">
        <f t="shared" si="139"/>
        <v>748.38709677419354</v>
      </c>
      <c r="N328" s="13">
        <f t="shared" si="146"/>
        <v>4909.4193548387093</v>
      </c>
      <c r="P328" s="13">
        <f t="shared" si="141"/>
        <v>10569.096774193547</v>
      </c>
      <c r="Q328" s="12">
        <f t="shared" si="150"/>
        <v>561.29032258064512</v>
      </c>
      <c r="R328" s="12">
        <f t="shared" si="147"/>
        <v>185</v>
      </c>
      <c r="S328" s="21">
        <v>0</v>
      </c>
      <c r="T328" s="13">
        <v>0</v>
      </c>
      <c r="U328" s="13">
        <f t="shared" si="142"/>
        <v>746.29032258064512</v>
      </c>
      <c r="V328" s="13">
        <f t="shared" si="151"/>
        <v>9822.8064516129016</v>
      </c>
      <c r="X328" s="13">
        <f t="shared" si="148"/>
        <v>9822.8064516129016</v>
      </c>
      <c r="Y328" s="12">
        <f t="shared" si="156"/>
        <v>615.08064516129025</v>
      </c>
      <c r="Z328" s="12">
        <f t="shared" si="152"/>
        <v>503</v>
      </c>
      <c r="AA328" s="1">
        <f t="shared" si="144"/>
        <v>0</v>
      </c>
      <c r="AB328" s="16">
        <f t="shared" si="143"/>
        <v>1118.0806451612902</v>
      </c>
      <c r="AC328" s="16">
        <f t="shared" si="153"/>
        <v>11687.177419354837</v>
      </c>
    </row>
    <row r="329" spans="1:29" x14ac:dyDescent="0.2">
      <c r="A329" s="10" t="s">
        <v>899</v>
      </c>
      <c r="B329" s="11">
        <f t="shared" si="157"/>
        <v>324</v>
      </c>
      <c r="C329" s="11" t="s">
        <v>756</v>
      </c>
      <c r="D329" s="19" t="s">
        <v>50</v>
      </c>
      <c r="E329" s="11" t="s">
        <v>237</v>
      </c>
      <c r="F329" s="20">
        <v>42936</v>
      </c>
      <c r="G329" s="11">
        <v>35</v>
      </c>
      <c r="H329" s="13">
        <f t="shared" si="149"/>
        <v>5645.1612903225805</v>
      </c>
      <c r="I329" s="13">
        <f t="shared" si="154"/>
        <v>0</v>
      </c>
      <c r="J329" s="13">
        <f t="shared" si="155"/>
        <v>282.25806451612902</v>
      </c>
      <c r="L329" s="13">
        <f t="shared" ref="L329:L392" si="158">((800)/G$3)*G329</f>
        <v>903.22580645161281</v>
      </c>
      <c r="N329" s="13">
        <f>((1950+1441-178+1017+509)/G$3)*G329</f>
        <v>5350.4838709677424</v>
      </c>
      <c r="P329" s="13">
        <f t="shared" si="141"/>
        <v>12181.129032258064</v>
      </c>
      <c r="Q329" s="12">
        <f t="shared" si="150"/>
        <v>677.41935483870964</v>
      </c>
      <c r="R329" s="12">
        <f t="shared" si="147"/>
        <v>214</v>
      </c>
      <c r="S329" s="21">
        <v>0</v>
      </c>
      <c r="T329" s="13">
        <v>0</v>
      </c>
      <c r="U329" s="13">
        <f t="shared" si="142"/>
        <v>891.41935483870964</v>
      </c>
      <c r="V329" s="13">
        <f t="shared" si="151"/>
        <v>11289.709677419354</v>
      </c>
      <c r="X329" s="13">
        <f t="shared" si="148"/>
        <v>11289.709677419354</v>
      </c>
      <c r="Y329" s="12">
        <f t="shared" si="156"/>
        <v>742.33870967741939</v>
      </c>
      <c r="Z329" s="12">
        <f t="shared" si="152"/>
        <v>579</v>
      </c>
      <c r="AA329" s="1">
        <f t="shared" si="144"/>
        <v>0</v>
      </c>
      <c r="AB329" s="16">
        <f t="shared" si="143"/>
        <v>1321.3387096774195</v>
      </c>
      <c r="AC329" s="16">
        <f t="shared" si="153"/>
        <v>13502.467741935485</v>
      </c>
    </row>
    <row r="330" spans="1:29" x14ac:dyDescent="0.2">
      <c r="A330" s="10" t="s">
        <v>900</v>
      </c>
      <c r="B330" s="11">
        <f t="shared" si="157"/>
        <v>325</v>
      </c>
      <c r="C330" s="11" t="s">
        <v>757</v>
      </c>
      <c r="D330" s="19" t="s">
        <v>50</v>
      </c>
      <c r="E330" s="11" t="s">
        <v>239</v>
      </c>
      <c r="F330" s="20">
        <v>42924</v>
      </c>
      <c r="G330" s="11">
        <v>36</v>
      </c>
      <c r="H330" s="13">
        <f t="shared" si="149"/>
        <v>5806.4516129032254</v>
      </c>
      <c r="I330" s="13">
        <f t="shared" si="154"/>
        <v>0</v>
      </c>
      <c r="J330" s="13">
        <f t="shared" si="155"/>
        <v>290.32258064516128</v>
      </c>
      <c r="L330" s="13">
        <f t="shared" si="158"/>
        <v>929.0322580645161</v>
      </c>
      <c r="N330" s="13">
        <f t="shared" si="145"/>
        <v>4912.2580645161288</v>
      </c>
      <c r="P330" s="13">
        <f t="shared" si="141"/>
        <v>11938.06451612903</v>
      </c>
      <c r="Q330" s="12">
        <f t="shared" si="150"/>
        <v>696.77419354838707</v>
      </c>
      <c r="R330" s="12">
        <f t="shared" si="147"/>
        <v>209</v>
      </c>
      <c r="S330" s="21">
        <v>0</v>
      </c>
      <c r="T330" s="13">
        <v>0</v>
      </c>
      <c r="U330" s="13">
        <f t="shared" ref="U330:U392" si="159">SUM(Q330:T330)</f>
        <v>905.77419354838707</v>
      </c>
      <c r="V330" s="13">
        <f t="shared" si="151"/>
        <v>11032.290322580644</v>
      </c>
      <c r="X330" s="13">
        <f t="shared" si="148"/>
        <v>11032.290322580644</v>
      </c>
      <c r="Y330" s="12">
        <f t="shared" si="156"/>
        <v>763.54838709677415</v>
      </c>
      <c r="Z330" s="12">
        <f t="shared" si="152"/>
        <v>568</v>
      </c>
      <c r="AA330" s="1">
        <f t="shared" si="144"/>
        <v>0</v>
      </c>
      <c r="AB330" s="16">
        <f t="shared" ref="AB330:AB392" si="160">SUM(Y330:AA330)</f>
        <v>1331.5483870967741</v>
      </c>
      <c r="AC330" s="16">
        <f t="shared" si="153"/>
        <v>13269.612903225805</v>
      </c>
    </row>
    <row r="331" spans="1:29" x14ac:dyDescent="0.2">
      <c r="A331" s="10" t="s">
        <v>901</v>
      </c>
      <c r="B331" s="11">
        <f t="shared" si="157"/>
        <v>326</v>
      </c>
      <c r="C331" s="11" t="s">
        <v>758</v>
      </c>
      <c r="D331" s="19" t="s">
        <v>50</v>
      </c>
      <c r="E331" s="11" t="s">
        <v>239</v>
      </c>
      <c r="F331" s="20">
        <v>42944</v>
      </c>
      <c r="G331" s="11">
        <v>34</v>
      </c>
      <c r="H331" s="13">
        <f t="shared" si="149"/>
        <v>5483.8709677419356</v>
      </c>
      <c r="I331" s="13">
        <f t="shared" si="154"/>
        <v>0</v>
      </c>
      <c r="J331" s="13">
        <f t="shared" si="155"/>
        <v>274.19354838709677</v>
      </c>
      <c r="L331" s="13">
        <f t="shared" si="158"/>
        <v>877.41935483870964</v>
      </c>
      <c r="N331" s="13">
        <f t="shared" si="145"/>
        <v>4639.3548387096771</v>
      </c>
      <c r="P331" s="13">
        <f t="shared" si="141"/>
        <v>11274.838709677419</v>
      </c>
      <c r="Q331" s="12">
        <f t="shared" si="150"/>
        <v>658.0645161290322</v>
      </c>
      <c r="R331" s="12">
        <f t="shared" si="147"/>
        <v>198</v>
      </c>
      <c r="S331" s="21">
        <v>0</v>
      </c>
      <c r="T331" s="13">
        <v>0</v>
      </c>
      <c r="U331" s="13">
        <f t="shared" si="159"/>
        <v>856.0645161290322</v>
      </c>
      <c r="V331" s="13">
        <f t="shared" si="151"/>
        <v>10418.774193548386</v>
      </c>
      <c r="X331" s="13">
        <f t="shared" si="148"/>
        <v>10418.774193548386</v>
      </c>
      <c r="Y331" s="12">
        <f t="shared" si="156"/>
        <v>721.12903225806451</v>
      </c>
      <c r="Z331" s="12">
        <f t="shared" si="152"/>
        <v>536</v>
      </c>
      <c r="AA331" s="1">
        <f t="shared" si="144"/>
        <v>0</v>
      </c>
      <c r="AB331" s="16">
        <f t="shared" si="160"/>
        <v>1257.1290322580644</v>
      </c>
      <c r="AC331" s="16">
        <f t="shared" si="153"/>
        <v>12531.967741935483</v>
      </c>
    </row>
    <row r="332" spans="1:29" x14ac:dyDescent="0.2">
      <c r="A332" s="10" t="s">
        <v>902</v>
      </c>
      <c r="B332" s="11">
        <f t="shared" si="157"/>
        <v>327</v>
      </c>
      <c r="C332" s="11" t="s">
        <v>759</v>
      </c>
      <c r="D332" s="19" t="s">
        <v>50</v>
      </c>
      <c r="E332" s="11" t="s">
        <v>581</v>
      </c>
      <c r="F332" s="20">
        <v>42940</v>
      </c>
      <c r="G332" s="11">
        <v>37</v>
      </c>
      <c r="H332" s="13">
        <f t="shared" si="149"/>
        <v>5967.7419354838703</v>
      </c>
      <c r="I332" s="13">
        <f t="shared" si="154"/>
        <v>0</v>
      </c>
      <c r="J332" s="13">
        <f t="shared" si="155"/>
        <v>298.38709677419354</v>
      </c>
      <c r="L332" s="13">
        <f t="shared" si="158"/>
        <v>954.83870967741927</v>
      </c>
      <c r="N332" s="13">
        <f t="shared" si="145"/>
        <v>5048.7096774193542</v>
      </c>
      <c r="P332" s="13">
        <f t="shared" si="141"/>
        <v>12269.677419354837</v>
      </c>
      <c r="Q332" s="12">
        <f t="shared" si="150"/>
        <v>716.1290322580644</v>
      </c>
      <c r="R332" s="12">
        <f t="shared" si="147"/>
        <v>215</v>
      </c>
      <c r="S332" s="21">
        <v>0</v>
      </c>
      <c r="T332" s="13">
        <v>0</v>
      </c>
      <c r="U332" s="13">
        <f t="shared" si="159"/>
        <v>931.1290322580644</v>
      </c>
      <c r="V332" s="13">
        <f t="shared" si="151"/>
        <v>11338.548387096773</v>
      </c>
      <c r="X332" s="13">
        <f t="shared" si="148"/>
        <v>11338.548387096773</v>
      </c>
      <c r="Y332" s="12">
        <f t="shared" si="156"/>
        <v>784.75806451612902</v>
      </c>
      <c r="Z332" s="12">
        <f t="shared" si="152"/>
        <v>583</v>
      </c>
      <c r="AA332" s="1">
        <f t="shared" ref="AA332:AA395" si="161">T332*3</f>
        <v>0</v>
      </c>
      <c r="AB332" s="16">
        <f t="shared" si="160"/>
        <v>1367.758064516129</v>
      </c>
      <c r="AC332" s="16">
        <f t="shared" si="153"/>
        <v>13637.435483870966</v>
      </c>
    </row>
    <row r="333" spans="1:29" x14ac:dyDescent="0.2">
      <c r="A333" s="10" t="s">
        <v>903</v>
      </c>
      <c r="B333" s="11">
        <f t="shared" si="157"/>
        <v>328</v>
      </c>
      <c r="C333" s="11" t="s">
        <v>760</v>
      </c>
      <c r="D333" s="19" t="s">
        <v>50</v>
      </c>
      <c r="E333" s="11" t="s">
        <v>581</v>
      </c>
      <c r="F333" s="20">
        <v>42941</v>
      </c>
      <c r="G333" s="11">
        <v>36</v>
      </c>
      <c r="H333" s="13">
        <f t="shared" si="149"/>
        <v>5806.4516129032254</v>
      </c>
      <c r="I333" s="13">
        <f t="shared" si="154"/>
        <v>0</v>
      </c>
      <c r="J333" s="13">
        <f t="shared" si="155"/>
        <v>290.32258064516128</v>
      </c>
      <c r="L333" s="13">
        <f t="shared" si="158"/>
        <v>929.0322580645161</v>
      </c>
      <c r="N333" s="13">
        <f t="shared" si="145"/>
        <v>4912.2580645161288</v>
      </c>
      <c r="P333" s="13">
        <f t="shared" si="141"/>
        <v>11938.06451612903</v>
      </c>
      <c r="Q333" s="12">
        <f t="shared" si="150"/>
        <v>696.77419354838707</v>
      </c>
      <c r="R333" s="12">
        <f t="shared" si="147"/>
        <v>209</v>
      </c>
      <c r="S333" s="21">
        <v>0</v>
      </c>
      <c r="T333" s="13">
        <v>0</v>
      </c>
      <c r="U333" s="13">
        <f t="shared" si="159"/>
        <v>905.77419354838707</v>
      </c>
      <c r="V333" s="13">
        <f t="shared" si="151"/>
        <v>11032.290322580644</v>
      </c>
      <c r="X333" s="13">
        <f t="shared" si="148"/>
        <v>11032.290322580644</v>
      </c>
      <c r="Y333" s="12">
        <f t="shared" si="156"/>
        <v>763.54838709677415</v>
      </c>
      <c r="Z333" s="12">
        <f t="shared" si="152"/>
        <v>568</v>
      </c>
      <c r="AA333" s="1">
        <f t="shared" si="161"/>
        <v>0</v>
      </c>
      <c r="AB333" s="16">
        <f t="shared" si="160"/>
        <v>1331.5483870967741</v>
      </c>
      <c r="AC333" s="16">
        <f t="shared" si="153"/>
        <v>13269.612903225805</v>
      </c>
    </row>
    <row r="334" spans="1:29" x14ac:dyDescent="0.2">
      <c r="A334" s="10" t="s">
        <v>904</v>
      </c>
      <c r="B334" s="11">
        <f t="shared" si="157"/>
        <v>329</v>
      </c>
      <c r="C334" s="11" t="s">
        <v>761</v>
      </c>
      <c r="D334" s="19" t="s">
        <v>50</v>
      </c>
      <c r="E334" s="11" t="s">
        <v>241</v>
      </c>
      <c r="F334" s="20">
        <v>42679</v>
      </c>
      <c r="G334" s="11">
        <v>34</v>
      </c>
      <c r="H334" s="13">
        <f t="shared" si="149"/>
        <v>5483.8709677419356</v>
      </c>
      <c r="I334" s="13">
        <f t="shared" si="154"/>
        <v>0</v>
      </c>
      <c r="J334" s="13">
        <f t="shared" si="155"/>
        <v>274.19354838709677</v>
      </c>
      <c r="L334" s="13">
        <f t="shared" si="158"/>
        <v>877.41935483870964</v>
      </c>
      <c r="N334" s="13">
        <f t="shared" si="145"/>
        <v>4639.3548387096771</v>
      </c>
      <c r="P334" s="13">
        <f t="shared" si="141"/>
        <v>11274.838709677419</v>
      </c>
      <c r="Q334" s="12">
        <f t="shared" si="150"/>
        <v>658.0645161290322</v>
      </c>
      <c r="R334" s="12">
        <f t="shared" si="147"/>
        <v>198</v>
      </c>
      <c r="S334" s="21">
        <v>0</v>
      </c>
      <c r="T334" s="13">
        <v>0</v>
      </c>
      <c r="U334" s="13">
        <f t="shared" si="159"/>
        <v>856.0645161290322</v>
      </c>
      <c r="V334" s="13">
        <f t="shared" si="151"/>
        <v>10418.774193548386</v>
      </c>
      <c r="X334" s="13">
        <f t="shared" si="148"/>
        <v>10418.774193548386</v>
      </c>
      <c r="Y334" s="12">
        <f t="shared" si="156"/>
        <v>721.12903225806451</v>
      </c>
      <c r="Z334" s="12">
        <f t="shared" si="152"/>
        <v>536</v>
      </c>
      <c r="AA334" s="1">
        <f t="shared" si="161"/>
        <v>0</v>
      </c>
      <c r="AB334" s="16">
        <f t="shared" si="160"/>
        <v>1257.1290322580644</v>
      </c>
      <c r="AC334" s="16">
        <f t="shared" si="153"/>
        <v>12531.967741935483</v>
      </c>
    </row>
    <row r="335" spans="1:29" x14ac:dyDescent="0.2">
      <c r="A335" s="10" t="s">
        <v>905</v>
      </c>
      <c r="B335" s="11">
        <f t="shared" si="157"/>
        <v>330</v>
      </c>
      <c r="C335" s="11" t="s">
        <v>762</v>
      </c>
      <c r="D335" s="19" t="s">
        <v>50</v>
      </c>
      <c r="E335" s="11" t="s">
        <v>241</v>
      </c>
      <c r="F335" s="20">
        <v>42941</v>
      </c>
      <c r="G335" s="11">
        <v>36</v>
      </c>
      <c r="H335" s="13">
        <f t="shared" si="149"/>
        <v>5806.4516129032254</v>
      </c>
      <c r="I335" s="13">
        <f t="shared" si="154"/>
        <v>0</v>
      </c>
      <c r="J335" s="13">
        <f t="shared" si="155"/>
        <v>290.32258064516128</v>
      </c>
      <c r="L335" s="13">
        <f t="shared" si="158"/>
        <v>929.0322580645161</v>
      </c>
      <c r="N335" s="13">
        <f t="shared" si="145"/>
        <v>4912.2580645161288</v>
      </c>
      <c r="P335" s="13">
        <f t="shared" si="141"/>
        <v>11938.06451612903</v>
      </c>
      <c r="Q335" s="12">
        <f t="shared" si="150"/>
        <v>696.77419354838707</v>
      </c>
      <c r="R335" s="12">
        <f t="shared" si="147"/>
        <v>209</v>
      </c>
      <c r="S335" s="21">
        <v>0</v>
      </c>
      <c r="T335" s="13">
        <v>0</v>
      </c>
      <c r="U335" s="13">
        <f t="shared" si="159"/>
        <v>905.77419354838707</v>
      </c>
      <c r="V335" s="13">
        <f t="shared" si="151"/>
        <v>11032.290322580644</v>
      </c>
      <c r="X335" s="13">
        <f t="shared" si="148"/>
        <v>11032.290322580644</v>
      </c>
      <c r="Y335" s="12">
        <f t="shared" si="156"/>
        <v>763.54838709677415</v>
      </c>
      <c r="Z335" s="12">
        <f t="shared" si="152"/>
        <v>568</v>
      </c>
      <c r="AA335" s="1">
        <f t="shared" si="161"/>
        <v>0</v>
      </c>
      <c r="AB335" s="16">
        <f t="shared" si="160"/>
        <v>1331.5483870967741</v>
      </c>
      <c r="AC335" s="16">
        <f t="shared" si="153"/>
        <v>13269.612903225805</v>
      </c>
    </row>
    <row r="336" spans="1:29" x14ac:dyDescent="0.2">
      <c r="A336" s="10" t="s">
        <v>906</v>
      </c>
      <c r="B336" s="11">
        <f t="shared" si="157"/>
        <v>331</v>
      </c>
      <c r="C336" s="11" t="s">
        <v>542</v>
      </c>
      <c r="D336" s="19" t="s">
        <v>50</v>
      </c>
      <c r="E336" s="11" t="s">
        <v>241</v>
      </c>
      <c r="F336" s="20">
        <v>42941</v>
      </c>
      <c r="G336" s="11">
        <v>32.5</v>
      </c>
      <c r="H336" s="13">
        <f t="shared" si="149"/>
        <v>5241.9354838709678</v>
      </c>
      <c r="I336" s="13">
        <f t="shared" si="154"/>
        <v>0</v>
      </c>
      <c r="J336" s="13">
        <f t="shared" si="155"/>
        <v>262.09677419354841</v>
      </c>
      <c r="L336" s="13">
        <f t="shared" si="158"/>
        <v>838.70967741935476</v>
      </c>
      <c r="N336" s="13">
        <f t="shared" si="145"/>
        <v>4434.6774193548381</v>
      </c>
      <c r="P336" s="13">
        <f t="shared" si="141"/>
        <v>10777.419354838708</v>
      </c>
      <c r="Q336" s="12">
        <f t="shared" si="150"/>
        <v>629.0322580645161</v>
      </c>
      <c r="R336" s="12">
        <f t="shared" si="147"/>
        <v>189</v>
      </c>
      <c r="S336" s="21">
        <v>0</v>
      </c>
      <c r="T336" s="13">
        <v>0</v>
      </c>
      <c r="U336" s="13">
        <f t="shared" si="159"/>
        <v>818.0322580645161</v>
      </c>
      <c r="V336" s="13">
        <f t="shared" si="151"/>
        <v>9959.3870967741932</v>
      </c>
      <c r="X336" s="13">
        <f t="shared" si="148"/>
        <v>9959.3870967741932</v>
      </c>
      <c r="Y336" s="12">
        <f t="shared" si="156"/>
        <v>689.31451612903231</v>
      </c>
      <c r="Z336" s="12">
        <f t="shared" si="152"/>
        <v>512</v>
      </c>
      <c r="AA336" s="1">
        <f t="shared" si="161"/>
        <v>0</v>
      </c>
      <c r="AB336" s="16">
        <f t="shared" si="160"/>
        <v>1201.3145161290322</v>
      </c>
      <c r="AC336" s="16">
        <f t="shared" si="153"/>
        <v>11978.733870967741</v>
      </c>
    </row>
    <row r="337" spans="1:29" x14ac:dyDescent="0.2">
      <c r="A337" s="10" t="s">
        <v>315</v>
      </c>
      <c r="B337" s="11">
        <f t="shared" si="157"/>
        <v>332</v>
      </c>
      <c r="C337" s="11" t="s">
        <v>926</v>
      </c>
      <c r="D337" s="19" t="s">
        <v>50</v>
      </c>
      <c r="E337" s="11" t="s">
        <v>234</v>
      </c>
      <c r="F337" s="20">
        <v>42940</v>
      </c>
      <c r="G337" s="11">
        <v>8</v>
      </c>
      <c r="H337" s="13">
        <f t="shared" si="149"/>
        <v>1290.3225806451612</v>
      </c>
      <c r="I337" s="13">
        <f t="shared" si="154"/>
        <v>0</v>
      </c>
      <c r="J337" s="13">
        <f t="shared" si="155"/>
        <v>64.516129032258064</v>
      </c>
      <c r="L337" s="13">
        <f t="shared" si="158"/>
        <v>206.45161290322579</v>
      </c>
      <c r="N337" s="13">
        <f>((4739)/G$3)*G337</f>
        <v>1222.9677419354839</v>
      </c>
      <c r="P337" s="13">
        <f t="shared" si="141"/>
        <v>2784.2580645161288</v>
      </c>
      <c r="Q337" s="12">
        <f t="shared" si="150"/>
        <v>154.83870967741933</v>
      </c>
      <c r="R337" s="12">
        <f t="shared" si="147"/>
        <v>49</v>
      </c>
      <c r="S337" s="21">
        <v>0</v>
      </c>
      <c r="T337" s="13">
        <v>0</v>
      </c>
      <c r="U337" s="13">
        <f t="shared" si="159"/>
        <v>203.83870967741933</v>
      </c>
      <c r="V337" s="13">
        <f t="shared" si="151"/>
        <v>2580.4193548387093</v>
      </c>
      <c r="W337" s="13">
        <v>2580</v>
      </c>
      <c r="X337" s="13">
        <f t="shared" si="148"/>
        <v>0.41935483870929602</v>
      </c>
      <c r="Y337" s="12">
        <f t="shared" si="156"/>
        <v>169.67741935483872</v>
      </c>
      <c r="Z337" s="12">
        <f t="shared" si="152"/>
        <v>133</v>
      </c>
      <c r="AA337" s="1">
        <f t="shared" si="161"/>
        <v>0</v>
      </c>
      <c r="AB337" s="16">
        <f t="shared" si="160"/>
        <v>302.67741935483872</v>
      </c>
      <c r="AC337" s="16">
        <f t="shared" si="153"/>
        <v>3086.9354838709673</v>
      </c>
    </row>
    <row r="338" spans="1:29" x14ac:dyDescent="0.2">
      <c r="A338" s="10" t="s">
        <v>315</v>
      </c>
      <c r="B338" s="11">
        <f t="shared" si="157"/>
        <v>333</v>
      </c>
      <c r="C338" s="11" t="s">
        <v>927</v>
      </c>
      <c r="D338" s="19" t="s">
        <v>50</v>
      </c>
      <c r="E338" s="11" t="s">
        <v>234</v>
      </c>
      <c r="F338" s="20">
        <v>42930</v>
      </c>
      <c r="G338" s="11">
        <v>11</v>
      </c>
      <c r="H338" s="13">
        <f t="shared" si="149"/>
        <v>1774.1935483870966</v>
      </c>
      <c r="I338" s="13">
        <f t="shared" si="154"/>
        <v>0</v>
      </c>
      <c r="J338" s="13">
        <f t="shared" si="155"/>
        <v>88.709677419354833</v>
      </c>
      <c r="L338" s="13">
        <f t="shared" si="158"/>
        <v>283.87096774193549</v>
      </c>
      <c r="N338" s="13">
        <f>((5248)/G$3)*G338</f>
        <v>1862.1935483870966</v>
      </c>
      <c r="P338" s="13">
        <f t="shared" si="141"/>
        <v>4008.9677419354834</v>
      </c>
      <c r="Q338" s="12">
        <f t="shared" si="150"/>
        <v>212.90322580645159</v>
      </c>
      <c r="R338" s="12">
        <f t="shared" si="147"/>
        <v>71</v>
      </c>
      <c r="S338" s="21">
        <v>0</v>
      </c>
      <c r="T338" s="13">
        <v>0</v>
      </c>
      <c r="U338" s="13">
        <f t="shared" si="159"/>
        <v>283.90322580645159</v>
      </c>
      <c r="V338" s="13">
        <f t="shared" si="151"/>
        <v>3725.0645161290317</v>
      </c>
      <c r="W338" s="13">
        <v>3725</v>
      </c>
      <c r="X338" s="13">
        <f t="shared" si="148"/>
        <v>6.451612903174464E-2</v>
      </c>
      <c r="Y338" s="12">
        <f t="shared" si="156"/>
        <v>233.3064516129032</v>
      </c>
      <c r="Z338" s="12">
        <f t="shared" si="152"/>
        <v>191</v>
      </c>
      <c r="AA338" s="1">
        <f t="shared" si="161"/>
        <v>0</v>
      </c>
      <c r="AB338" s="16">
        <f t="shared" si="160"/>
        <v>424.30645161290317</v>
      </c>
      <c r="AC338" s="16">
        <f t="shared" si="153"/>
        <v>4433.2741935483864</v>
      </c>
    </row>
    <row r="339" spans="1:29" x14ac:dyDescent="0.2">
      <c r="A339" s="10" t="s">
        <v>315</v>
      </c>
      <c r="B339" s="11">
        <f t="shared" si="157"/>
        <v>334</v>
      </c>
      <c r="C339" s="11" t="s">
        <v>928</v>
      </c>
      <c r="D339" s="19" t="s">
        <v>50</v>
      </c>
      <c r="E339" s="11" t="s">
        <v>234</v>
      </c>
      <c r="F339" s="20">
        <v>42932</v>
      </c>
      <c r="G339" s="11">
        <v>11</v>
      </c>
      <c r="H339" s="13">
        <f t="shared" si="149"/>
        <v>1774.1935483870966</v>
      </c>
      <c r="I339" s="13">
        <f t="shared" si="154"/>
        <v>0</v>
      </c>
      <c r="J339" s="13">
        <f t="shared" si="155"/>
        <v>88.709677419354833</v>
      </c>
      <c r="L339" s="13">
        <f t="shared" si="158"/>
        <v>283.87096774193549</v>
      </c>
      <c r="N339" s="13">
        <f>((5248)/G$3)*G339</f>
        <v>1862.1935483870966</v>
      </c>
      <c r="P339" s="13">
        <f t="shared" si="141"/>
        <v>4008.9677419354834</v>
      </c>
      <c r="Q339" s="12">
        <f t="shared" si="150"/>
        <v>212.90322580645159</v>
      </c>
      <c r="R339" s="12">
        <f t="shared" si="147"/>
        <v>71</v>
      </c>
      <c r="S339" s="21">
        <v>0</v>
      </c>
      <c r="T339" s="13">
        <v>0</v>
      </c>
      <c r="U339" s="13">
        <f t="shared" si="159"/>
        <v>283.90322580645159</v>
      </c>
      <c r="V339" s="13">
        <f t="shared" si="151"/>
        <v>3725.0645161290317</v>
      </c>
      <c r="W339" s="13">
        <v>3725</v>
      </c>
      <c r="X339" s="13">
        <f t="shared" si="148"/>
        <v>6.451612903174464E-2</v>
      </c>
      <c r="Y339" s="12">
        <f t="shared" si="156"/>
        <v>233.3064516129032</v>
      </c>
      <c r="Z339" s="12">
        <f t="shared" si="152"/>
        <v>191</v>
      </c>
      <c r="AA339" s="1">
        <f t="shared" si="161"/>
        <v>0</v>
      </c>
      <c r="AB339" s="16">
        <f t="shared" si="160"/>
        <v>424.30645161290317</v>
      </c>
      <c r="AC339" s="16">
        <f t="shared" si="153"/>
        <v>4433.2741935483864</v>
      </c>
    </row>
    <row r="340" spans="1:29" x14ac:dyDescent="0.2">
      <c r="A340" s="11" t="s">
        <v>78</v>
      </c>
      <c r="B340" s="11">
        <f t="shared" si="157"/>
        <v>335</v>
      </c>
      <c r="C340" s="11" t="s">
        <v>989</v>
      </c>
      <c r="D340" s="19" t="s">
        <v>50</v>
      </c>
      <c r="E340" s="19" t="s">
        <v>709</v>
      </c>
      <c r="F340" s="20">
        <v>42708</v>
      </c>
      <c r="G340" s="11">
        <v>12</v>
      </c>
      <c r="H340" s="13">
        <f t="shared" si="149"/>
        <v>1935.483870967742</v>
      </c>
      <c r="I340" s="13">
        <f t="shared" si="154"/>
        <v>0</v>
      </c>
      <c r="J340" s="13">
        <f t="shared" si="155"/>
        <v>96.774193548387103</v>
      </c>
      <c r="L340" s="13">
        <f t="shared" si="158"/>
        <v>309.67741935483866</v>
      </c>
      <c r="N340" s="13">
        <f t="shared" ref="N340" si="162">((5248)/G$3)*G340</f>
        <v>2031.483870967742</v>
      </c>
      <c r="P340" s="13">
        <f t="shared" si="141"/>
        <v>4373.4193548387102</v>
      </c>
      <c r="Q340" s="12">
        <f t="shared" si="150"/>
        <v>232.25806451612902</v>
      </c>
      <c r="R340" s="12">
        <f t="shared" si="147"/>
        <v>77</v>
      </c>
      <c r="S340" s="21">
        <v>0</v>
      </c>
      <c r="T340" s="13">
        <v>0</v>
      </c>
      <c r="U340" s="13">
        <f t="shared" si="159"/>
        <v>309.25806451612902</v>
      </c>
      <c r="V340" s="13">
        <f t="shared" si="151"/>
        <v>4064.1612903225814</v>
      </c>
      <c r="X340" s="13">
        <f t="shared" si="148"/>
        <v>4064.1612903225814</v>
      </c>
      <c r="Y340" s="12">
        <f t="shared" si="156"/>
        <v>254.51612903225808</v>
      </c>
      <c r="Z340" s="12">
        <f t="shared" si="152"/>
        <v>208</v>
      </c>
      <c r="AA340" s="1">
        <f t="shared" si="161"/>
        <v>0</v>
      </c>
      <c r="AB340" s="16">
        <f t="shared" si="160"/>
        <v>462.51612903225805</v>
      </c>
      <c r="AC340" s="16">
        <f t="shared" si="153"/>
        <v>4835.9354838709678</v>
      </c>
    </row>
    <row r="341" spans="1:29" x14ac:dyDescent="0.2">
      <c r="A341" s="10" t="s">
        <v>315</v>
      </c>
      <c r="B341" s="11">
        <f t="shared" si="157"/>
        <v>336</v>
      </c>
      <c r="C341" s="11" t="s">
        <v>946</v>
      </c>
      <c r="D341" s="19" t="s">
        <v>50</v>
      </c>
      <c r="E341" s="19" t="s">
        <v>581</v>
      </c>
      <c r="F341" s="20">
        <v>42949</v>
      </c>
      <c r="G341" s="11">
        <v>35</v>
      </c>
      <c r="H341" s="13">
        <f t="shared" si="149"/>
        <v>5645.1612903225805</v>
      </c>
      <c r="I341" s="13">
        <f t="shared" si="154"/>
        <v>0</v>
      </c>
      <c r="J341" s="13">
        <f t="shared" si="155"/>
        <v>282.25806451612902</v>
      </c>
      <c r="L341" s="13">
        <f t="shared" si="158"/>
        <v>903.22580645161281</v>
      </c>
      <c r="N341" s="13">
        <f>((4230)/G$3)*G341</f>
        <v>4775.8064516129025</v>
      </c>
      <c r="P341" s="13">
        <f t="shared" si="141"/>
        <v>11606.451612903224</v>
      </c>
      <c r="Q341" s="12">
        <f t="shared" si="150"/>
        <v>677.41935483870964</v>
      </c>
      <c r="R341" s="12">
        <f t="shared" si="147"/>
        <v>204</v>
      </c>
      <c r="S341" s="21">
        <v>0</v>
      </c>
      <c r="T341" s="13">
        <v>0</v>
      </c>
      <c r="U341" s="13">
        <f t="shared" si="159"/>
        <v>881.41935483870964</v>
      </c>
      <c r="V341" s="13">
        <f t="shared" si="151"/>
        <v>10725.032258064513</v>
      </c>
      <c r="X341" s="13">
        <f t="shared" si="148"/>
        <v>10725.032258064513</v>
      </c>
      <c r="Y341" s="12">
        <f t="shared" si="156"/>
        <v>742.33870967741939</v>
      </c>
      <c r="Z341" s="12">
        <f t="shared" si="152"/>
        <v>552</v>
      </c>
      <c r="AA341" s="1">
        <f t="shared" si="161"/>
        <v>0</v>
      </c>
      <c r="AB341" s="16">
        <f t="shared" si="160"/>
        <v>1294.3387096774195</v>
      </c>
      <c r="AC341" s="16">
        <f t="shared" si="153"/>
        <v>12900.790322580644</v>
      </c>
    </row>
    <row r="342" spans="1:29" x14ac:dyDescent="0.2">
      <c r="A342" s="10" t="s">
        <v>315</v>
      </c>
      <c r="B342" s="11">
        <f t="shared" si="157"/>
        <v>337</v>
      </c>
      <c r="C342" s="11" t="s">
        <v>947</v>
      </c>
      <c r="D342" s="19" t="s">
        <v>50</v>
      </c>
      <c r="E342" s="19" t="s">
        <v>581</v>
      </c>
      <c r="F342" s="20">
        <v>42953</v>
      </c>
      <c r="G342" s="11">
        <v>32</v>
      </c>
      <c r="H342" s="13">
        <f t="shared" si="149"/>
        <v>5161.2903225806449</v>
      </c>
      <c r="I342" s="13">
        <f t="shared" si="154"/>
        <v>0</v>
      </c>
      <c r="J342" s="13">
        <f t="shared" si="155"/>
        <v>258.06451612903226</v>
      </c>
      <c r="L342" s="13">
        <f t="shared" si="158"/>
        <v>825.80645161290317</v>
      </c>
      <c r="N342" s="13">
        <f>((5757)/G$3)*G342</f>
        <v>5942.7096774193551</v>
      </c>
      <c r="P342" s="13">
        <f t="shared" si="141"/>
        <v>12187.870967741936</v>
      </c>
      <c r="Q342" s="12">
        <f t="shared" si="150"/>
        <v>619.35483870967732</v>
      </c>
      <c r="R342" s="12">
        <f t="shared" si="147"/>
        <v>214</v>
      </c>
      <c r="S342" s="21">
        <v>0</v>
      </c>
      <c r="T342" s="13">
        <v>0</v>
      </c>
      <c r="U342" s="13">
        <f t="shared" si="159"/>
        <v>833.35483870967732</v>
      </c>
      <c r="V342" s="13">
        <f t="shared" si="151"/>
        <v>11354.516129032258</v>
      </c>
      <c r="X342" s="13">
        <f t="shared" si="148"/>
        <v>11354.516129032258</v>
      </c>
      <c r="Y342" s="12">
        <f t="shared" si="156"/>
        <v>678.70967741935488</v>
      </c>
      <c r="Z342" s="12">
        <f t="shared" si="152"/>
        <v>579</v>
      </c>
      <c r="AA342" s="1">
        <f t="shared" si="161"/>
        <v>0</v>
      </c>
      <c r="AB342" s="16">
        <f t="shared" si="160"/>
        <v>1257.7096774193549</v>
      </c>
      <c r="AC342" s="16">
        <f t="shared" si="153"/>
        <v>13445.58064516129</v>
      </c>
    </row>
    <row r="343" spans="1:29" x14ac:dyDescent="0.2">
      <c r="A343" s="10" t="s">
        <v>315</v>
      </c>
      <c r="B343" s="11">
        <f t="shared" si="157"/>
        <v>338</v>
      </c>
      <c r="C343" s="11" t="s">
        <v>948</v>
      </c>
      <c r="D343" s="19" t="s">
        <v>50</v>
      </c>
      <c r="E343" s="19" t="s">
        <v>581</v>
      </c>
      <c r="F343" s="20">
        <v>42953</v>
      </c>
      <c r="G343" s="11">
        <v>6</v>
      </c>
      <c r="H343" s="13">
        <f t="shared" si="149"/>
        <v>967.74193548387098</v>
      </c>
      <c r="I343" s="13">
        <f t="shared" si="154"/>
        <v>0</v>
      </c>
      <c r="J343" s="13">
        <f t="shared" si="155"/>
        <v>48.387096774193552</v>
      </c>
      <c r="L343" s="13">
        <f t="shared" si="158"/>
        <v>154.83870967741933</v>
      </c>
      <c r="N343" s="13">
        <f>((4230)/G$3)*G343</f>
        <v>818.70967741935476</v>
      </c>
      <c r="P343" s="13">
        <f t="shared" si="141"/>
        <v>1989.6774193548385</v>
      </c>
      <c r="Q343" s="12">
        <f t="shared" si="150"/>
        <v>116.12903225806451</v>
      </c>
      <c r="R343" s="12">
        <f t="shared" si="147"/>
        <v>35</v>
      </c>
      <c r="S343" s="21">
        <v>0</v>
      </c>
      <c r="T343" s="13">
        <v>0</v>
      </c>
      <c r="U343" s="13">
        <f t="shared" si="159"/>
        <v>151.12903225806451</v>
      </c>
      <c r="V343" s="13">
        <f t="shared" si="151"/>
        <v>1838.5483870967741</v>
      </c>
      <c r="X343" s="13">
        <f t="shared" si="148"/>
        <v>1838.5483870967741</v>
      </c>
      <c r="Y343" s="12">
        <f t="shared" si="156"/>
        <v>127.25806451612904</v>
      </c>
      <c r="Z343" s="12">
        <f t="shared" si="152"/>
        <v>95</v>
      </c>
      <c r="AA343" s="1">
        <f t="shared" si="161"/>
        <v>0</v>
      </c>
      <c r="AB343" s="16">
        <f t="shared" si="160"/>
        <v>222.25806451612902</v>
      </c>
      <c r="AC343" s="16">
        <f t="shared" si="153"/>
        <v>2211.9354838709678</v>
      </c>
    </row>
    <row r="344" spans="1:29" x14ac:dyDescent="0.2">
      <c r="A344" s="10" t="s">
        <v>315</v>
      </c>
      <c r="B344" s="11">
        <f t="shared" si="157"/>
        <v>339</v>
      </c>
      <c r="C344" s="11" t="s">
        <v>949</v>
      </c>
      <c r="D344" s="19" t="s">
        <v>50</v>
      </c>
      <c r="E344" s="19" t="s">
        <v>581</v>
      </c>
      <c r="F344" s="20">
        <v>42969</v>
      </c>
      <c r="G344" s="11">
        <v>10</v>
      </c>
      <c r="H344" s="13">
        <f t="shared" si="149"/>
        <v>1612.9032258064515</v>
      </c>
      <c r="I344" s="13">
        <f t="shared" si="154"/>
        <v>0</v>
      </c>
      <c r="J344" s="13">
        <f t="shared" si="155"/>
        <v>80.645161290322577</v>
      </c>
      <c r="L344" s="13">
        <f t="shared" si="158"/>
        <v>258.06451612903226</v>
      </c>
      <c r="N344" s="13">
        <f>((4230)/G$3)*G344</f>
        <v>1364.516129032258</v>
      </c>
      <c r="P344" s="13">
        <f t="shared" si="141"/>
        <v>3316.1290322580644</v>
      </c>
      <c r="Q344" s="12">
        <f t="shared" si="150"/>
        <v>193.54838709677418</v>
      </c>
      <c r="R344" s="12">
        <f t="shared" si="147"/>
        <v>59</v>
      </c>
      <c r="S344" s="21">
        <v>0</v>
      </c>
      <c r="T344" s="13">
        <v>0</v>
      </c>
      <c r="U344" s="13">
        <f t="shared" si="159"/>
        <v>252.54838709677418</v>
      </c>
      <c r="V344" s="13">
        <f t="shared" si="151"/>
        <v>3063.5806451612902</v>
      </c>
      <c r="X344" s="13">
        <f t="shared" si="148"/>
        <v>3063.5806451612902</v>
      </c>
      <c r="Y344" s="12">
        <f t="shared" si="156"/>
        <v>212.09677419354838</v>
      </c>
      <c r="Z344" s="12">
        <f t="shared" si="152"/>
        <v>158</v>
      </c>
      <c r="AA344" s="1">
        <f t="shared" si="161"/>
        <v>0</v>
      </c>
      <c r="AB344" s="16">
        <f t="shared" si="160"/>
        <v>370.09677419354841</v>
      </c>
      <c r="AC344" s="16">
        <f t="shared" si="153"/>
        <v>3686.2258064516127</v>
      </c>
    </row>
    <row r="345" spans="1:29" x14ac:dyDescent="0.2">
      <c r="A345" s="10" t="s">
        <v>315</v>
      </c>
      <c r="B345" s="11">
        <f t="shared" si="157"/>
        <v>340</v>
      </c>
      <c r="C345" s="11" t="s">
        <v>214</v>
      </c>
      <c r="D345" s="19" t="s">
        <v>50</v>
      </c>
      <c r="E345" s="19" t="s">
        <v>581</v>
      </c>
      <c r="F345" s="20">
        <v>42977</v>
      </c>
      <c r="G345" s="11">
        <v>2</v>
      </c>
      <c r="H345" s="13">
        <f t="shared" si="149"/>
        <v>322.58064516129031</v>
      </c>
      <c r="I345" s="13">
        <f t="shared" si="154"/>
        <v>0</v>
      </c>
      <c r="J345" s="13">
        <f t="shared" si="155"/>
        <v>16.129032258064516</v>
      </c>
      <c r="L345" s="13">
        <f t="shared" si="158"/>
        <v>51.612903225806448</v>
      </c>
      <c r="N345" s="13">
        <f t="shared" ref="N345:N347" si="163">((5757)/G$3)*G345</f>
        <v>371.41935483870969</v>
      </c>
      <c r="P345" s="13">
        <f t="shared" si="141"/>
        <v>761.74193548387098</v>
      </c>
      <c r="Q345" s="12">
        <f t="shared" si="150"/>
        <v>38.709677419354833</v>
      </c>
      <c r="R345" s="12">
        <f t="shared" si="147"/>
        <v>14</v>
      </c>
      <c r="S345" s="21">
        <v>0</v>
      </c>
      <c r="T345" s="13">
        <v>0</v>
      </c>
      <c r="U345" s="13">
        <f t="shared" si="159"/>
        <v>52.709677419354833</v>
      </c>
      <c r="V345" s="13">
        <f t="shared" si="151"/>
        <v>709.0322580645161</v>
      </c>
      <c r="X345" s="13">
        <f t="shared" si="148"/>
        <v>709.0322580645161</v>
      </c>
      <c r="Y345" s="12">
        <f t="shared" si="156"/>
        <v>42.41935483870968</v>
      </c>
      <c r="Z345" s="12">
        <f t="shared" si="152"/>
        <v>37</v>
      </c>
      <c r="AA345" s="1">
        <f t="shared" si="161"/>
        <v>0</v>
      </c>
      <c r="AB345" s="16">
        <f t="shared" si="160"/>
        <v>79.41935483870968</v>
      </c>
      <c r="AC345" s="16">
        <f t="shared" si="153"/>
        <v>841.16129032258061</v>
      </c>
    </row>
    <row r="346" spans="1:29" x14ac:dyDescent="0.2">
      <c r="A346" s="10" t="s">
        <v>315</v>
      </c>
      <c r="B346" s="11">
        <f t="shared" si="157"/>
        <v>341</v>
      </c>
      <c r="C346" s="11" t="s">
        <v>950</v>
      </c>
      <c r="D346" s="19" t="s">
        <v>50</v>
      </c>
      <c r="E346" s="19" t="s">
        <v>581</v>
      </c>
      <c r="F346" s="20">
        <v>42966</v>
      </c>
      <c r="G346" s="11">
        <v>15</v>
      </c>
      <c r="H346" s="13">
        <f t="shared" si="149"/>
        <v>2419.3548387096771</v>
      </c>
      <c r="I346" s="13">
        <f t="shared" si="154"/>
        <v>0</v>
      </c>
      <c r="J346" s="13">
        <f t="shared" si="155"/>
        <v>120.96774193548386</v>
      </c>
      <c r="L346" s="13">
        <f t="shared" si="158"/>
        <v>387.09677419354836</v>
      </c>
      <c r="N346" s="13">
        <f t="shared" si="163"/>
        <v>2785.6451612903229</v>
      </c>
      <c r="P346" s="13">
        <f t="shared" si="141"/>
        <v>5713.0645161290322</v>
      </c>
      <c r="Q346" s="12">
        <f t="shared" si="150"/>
        <v>290.32258064516122</v>
      </c>
      <c r="R346" s="12">
        <f t="shared" si="147"/>
        <v>100</v>
      </c>
      <c r="S346" s="21">
        <v>0</v>
      </c>
      <c r="T346" s="13">
        <v>0</v>
      </c>
      <c r="U346" s="13">
        <f t="shared" si="159"/>
        <v>390.32258064516122</v>
      </c>
      <c r="V346" s="13">
        <f t="shared" si="151"/>
        <v>5322.7419354838712</v>
      </c>
      <c r="X346" s="13">
        <f t="shared" si="148"/>
        <v>5322.7419354838712</v>
      </c>
      <c r="Y346" s="12">
        <f t="shared" si="156"/>
        <v>318.14516129032256</v>
      </c>
      <c r="Z346" s="12">
        <f t="shared" si="152"/>
        <v>272</v>
      </c>
      <c r="AA346" s="1">
        <f t="shared" si="161"/>
        <v>0</v>
      </c>
      <c r="AB346" s="16">
        <f t="shared" si="160"/>
        <v>590.14516129032256</v>
      </c>
      <c r="AC346" s="16">
        <f t="shared" si="153"/>
        <v>6303.2096774193551</v>
      </c>
    </row>
    <row r="347" spans="1:29" x14ac:dyDescent="0.2">
      <c r="A347" s="10" t="s">
        <v>315</v>
      </c>
      <c r="B347" s="11">
        <f t="shared" si="157"/>
        <v>342</v>
      </c>
      <c r="C347" s="11" t="s">
        <v>951</v>
      </c>
      <c r="D347" s="19" t="s">
        <v>50</v>
      </c>
      <c r="E347" s="19" t="s">
        <v>581</v>
      </c>
      <c r="F347" s="20">
        <v>42966</v>
      </c>
      <c r="G347" s="11">
        <v>15</v>
      </c>
      <c r="H347" s="13">
        <f t="shared" si="149"/>
        <v>2419.3548387096771</v>
      </c>
      <c r="I347" s="13">
        <f t="shared" si="154"/>
        <v>0</v>
      </c>
      <c r="J347" s="13">
        <f t="shared" si="155"/>
        <v>120.96774193548386</v>
      </c>
      <c r="L347" s="13">
        <f t="shared" si="158"/>
        <v>387.09677419354836</v>
      </c>
      <c r="N347" s="13">
        <f t="shared" si="163"/>
        <v>2785.6451612903229</v>
      </c>
      <c r="P347" s="13">
        <f t="shared" si="141"/>
        <v>5713.0645161290322</v>
      </c>
      <c r="Q347" s="12">
        <f t="shared" si="150"/>
        <v>290.32258064516122</v>
      </c>
      <c r="R347" s="12">
        <f t="shared" si="147"/>
        <v>100</v>
      </c>
      <c r="S347" s="21">
        <v>0</v>
      </c>
      <c r="T347" s="13">
        <v>0</v>
      </c>
      <c r="U347" s="13">
        <f t="shared" si="159"/>
        <v>390.32258064516122</v>
      </c>
      <c r="V347" s="13">
        <f t="shared" si="151"/>
        <v>5322.7419354838712</v>
      </c>
      <c r="X347" s="13">
        <f t="shared" si="148"/>
        <v>5322.7419354838712</v>
      </c>
      <c r="Y347" s="12">
        <f t="shared" si="156"/>
        <v>318.14516129032256</v>
      </c>
      <c r="Z347" s="12">
        <f t="shared" si="152"/>
        <v>272</v>
      </c>
      <c r="AA347" s="1">
        <f t="shared" si="161"/>
        <v>0</v>
      </c>
      <c r="AB347" s="16">
        <f t="shared" si="160"/>
        <v>590.14516129032256</v>
      </c>
      <c r="AC347" s="16">
        <f t="shared" si="153"/>
        <v>6303.2096774193551</v>
      </c>
    </row>
    <row r="348" spans="1:29" x14ac:dyDescent="0.2">
      <c r="A348" s="10" t="s">
        <v>315</v>
      </c>
      <c r="B348" s="11">
        <f t="shared" si="157"/>
        <v>343</v>
      </c>
      <c r="C348" s="11" t="s">
        <v>952</v>
      </c>
      <c r="D348" s="19" t="s">
        <v>50</v>
      </c>
      <c r="E348" s="19" t="s">
        <v>234</v>
      </c>
      <c r="F348" s="20">
        <v>42948</v>
      </c>
      <c r="G348" s="11">
        <v>37</v>
      </c>
      <c r="H348" s="13">
        <f t="shared" si="149"/>
        <v>5967.7419354838703</v>
      </c>
      <c r="I348" s="13">
        <f t="shared" si="154"/>
        <v>0</v>
      </c>
      <c r="J348" s="13">
        <f t="shared" si="155"/>
        <v>298.38709677419354</v>
      </c>
      <c r="L348" s="13">
        <f t="shared" si="158"/>
        <v>954.83870967741927</v>
      </c>
      <c r="N348" s="13">
        <f t="shared" ref="N348:N391" si="164">((5248)/G$3)*G348</f>
        <v>6263.7419354838703</v>
      </c>
      <c r="P348" s="13">
        <f t="shared" si="141"/>
        <v>13484.709677419352</v>
      </c>
      <c r="Q348" s="12">
        <f t="shared" si="150"/>
        <v>716.1290322580644</v>
      </c>
      <c r="R348" s="12">
        <f t="shared" si="147"/>
        <v>236</v>
      </c>
      <c r="S348" s="21">
        <v>0</v>
      </c>
      <c r="T348" s="13">
        <v>0</v>
      </c>
      <c r="U348" s="13">
        <f t="shared" si="159"/>
        <v>952.1290322580644</v>
      </c>
      <c r="V348" s="13">
        <f t="shared" si="151"/>
        <v>12532.580645161288</v>
      </c>
      <c r="X348" s="13">
        <f t="shared" si="148"/>
        <v>12532.580645161288</v>
      </c>
      <c r="Y348" s="12">
        <f t="shared" si="156"/>
        <v>784.75806451612902</v>
      </c>
      <c r="Z348" s="12">
        <f t="shared" si="152"/>
        <v>641</v>
      </c>
      <c r="AA348" s="1">
        <f t="shared" si="161"/>
        <v>0</v>
      </c>
      <c r="AB348" s="16">
        <f t="shared" si="160"/>
        <v>1425.758064516129</v>
      </c>
      <c r="AC348" s="16">
        <f t="shared" si="153"/>
        <v>14910.467741935481</v>
      </c>
    </row>
    <row r="349" spans="1:29" x14ac:dyDescent="0.2">
      <c r="A349" s="10" t="s">
        <v>315</v>
      </c>
      <c r="B349" s="11">
        <f t="shared" si="157"/>
        <v>344</v>
      </c>
      <c r="C349" s="11" t="s">
        <v>953</v>
      </c>
      <c r="D349" s="19" t="s">
        <v>50</v>
      </c>
      <c r="E349" s="19" t="s">
        <v>234</v>
      </c>
      <c r="F349" s="20">
        <v>42948</v>
      </c>
      <c r="G349" s="11">
        <v>22</v>
      </c>
      <c r="H349" s="13">
        <f t="shared" si="149"/>
        <v>3548.3870967741932</v>
      </c>
      <c r="I349" s="13">
        <f t="shared" si="154"/>
        <v>0</v>
      </c>
      <c r="J349" s="13">
        <f t="shared" si="155"/>
        <v>177.41935483870967</v>
      </c>
      <c r="L349" s="13">
        <f t="shared" si="158"/>
        <v>567.74193548387098</v>
      </c>
      <c r="N349" s="13">
        <f t="shared" si="164"/>
        <v>3724.3870967741932</v>
      </c>
      <c r="P349" s="13">
        <f t="shared" si="141"/>
        <v>8017.9354838709669</v>
      </c>
      <c r="Q349" s="12">
        <f t="shared" si="150"/>
        <v>425.80645161290317</v>
      </c>
      <c r="R349" s="12">
        <f t="shared" si="147"/>
        <v>141</v>
      </c>
      <c r="S349" s="21">
        <v>0</v>
      </c>
      <c r="T349" s="13">
        <v>0</v>
      </c>
      <c r="U349" s="13">
        <f t="shared" si="159"/>
        <v>566.80645161290317</v>
      </c>
      <c r="V349" s="13">
        <f t="shared" si="151"/>
        <v>7451.1290322580635</v>
      </c>
      <c r="X349" s="13">
        <f t="shared" si="148"/>
        <v>7451.1290322580635</v>
      </c>
      <c r="Y349" s="12">
        <f t="shared" si="156"/>
        <v>466.61290322580641</v>
      </c>
      <c r="Z349" s="12">
        <f t="shared" si="152"/>
        <v>381</v>
      </c>
      <c r="AA349" s="1">
        <f t="shared" si="161"/>
        <v>0</v>
      </c>
      <c r="AB349" s="16">
        <f t="shared" si="160"/>
        <v>847.61290322580635</v>
      </c>
      <c r="AC349" s="16">
        <f t="shared" si="153"/>
        <v>8865.5483870967728</v>
      </c>
    </row>
    <row r="350" spans="1:29" x14ac:dyDescent="0.2">
      <c r="A350" s="10" t="s">
        <v>315</v>
      </c>
      <c r="B350" s="11">
        <f t="shared" si="157"/>
        <v>345</v>
      </c>
      <c r="C350" s="11" t="s">
        <v>954</v>
      </c>
      <c r="D350" s="19" t="s">
        <v>50</v>
      </c>
      <c r="E350" s="19" t="s">
        <v>234</v>
      </c>
      <c r="F350" s="20">
        <v>42948</v>
      </c>
      <c r="G350" s="11">
        <v>19</v>
      </c>
      <c r="H350" s="13">
        <f t="shared" si="149"/>
        <v>3064.516129032258</v>
      </c>
      <c r="I350" s="13">
        <f t="shared" si="154"/>
        <v>0</v>
      </c>
      <c r="J350" s="13">
        <f t="shared" si="155"/>
        <v>153.2258064516129</v>
      </c>
      <c r="L350" s="13">
        <f t="shared" si="158"/>
        <v>490.32258064516128</v>
      </c>
      <c r="N350" s="13">
        <f t="shared" si="164"/>
        <v>3216.516129032258</v>
      </c>
      <c r="P350" s="13">
        <f t="shared" si="141"/>
        <v>6924.5806451612898</v>
      </c>
      <c r="Q350" s="12">
        <f t="shared" si="150"/>
        <v>367.74193548387098</v>
      </c>
      <c r="R350" s="12">
        <f t="shared" si="147"/>
        <v>122</v>
      </c>
      <c r="S350" s="21">
        <v>0</v>
      </c>
      <c r="T350" s="13">
        <v>0</v>
      </c>
      <c r="U350" s="13">
        <f t="shared" si="159"/>
        <v>489.74193548387098</v>
      </c>
      <c r="V350" s="13">
        <f t="shared" si="151"/>
        <v>6434.8387096774186</v>
      </c>
      <c r="X350" s="13">
        <f t="shared" si="148"/>
        <v>6434.8387096774186</v>
      </c>
      <c r="Y350" s="12">
        <f t="shared" si="156"/>
        <v>402.98387096774195</v>
      </c>
      <c r="Z350" s="12">
        <f t="shared" si="152"/>
        <v>329</v>
      </c>
      <c r="AA350" s="1">
        <f t="shared" si="161"/>
        <v>0</v>
      </c>
      <c r="AB350" s="16">
        <f t="shared" si="160"/>
        <v>731.98387096774195</v>
      </c>
      <c r="AC350" s="16">
        <f t="shared" si="153"/>
        <v>7656.5645161290322</v>
      </c>
    </row>
    <row r="351" spans="1:29" x14ac:dyDescent="0.2">
      <c r="A351" s="10" t="s">
        <v>315</v>
      </c>
      <c r="B351" s="11">
        <f t="shared" si="157"/>
        <v>346</v>
      </c>
      <c r="C351" s="11" t="s">
        <v>955</v>
      </c>
      <c r="D351" s="19" t="s">
        <v>50</v>
      </c>
      <c r="E351" s="19" t="s">
        <v>234</v>
      </c>
      <c r="F351" s="20">
        <v>42949</v>
      </c>
      <c r="G351" s="11">
        <v>35</v>
      </c>
      <c r="H351" s="13">
        <f t="shared" si="149"/>
        <v>5645.1612903225805</v>
      </c>
      <c r="I351" s="13">
        <f t="shared" si="154"/>
        <v>0</v>
      </c>
      <c r="J351" s="13">
        <f t="shared" si="155"/>
        <v>282.25806451612902</v>
      </c>
      <c r="L351" s="13">
        <f t="shared" si="158"/>
        <v>903.22580645161281</v>
      </c>
      <c r="N351" s="13">
        <f t="shared" si="164"/>
        <v>5925.1612903225805</v>
      </c>
      <c r="P351" s="13">
        <f t="shared" si="141"/>
        <v>12755.806451612902</v>
      </c>
      <c r="Q351" s="12">
        <f t="shared" si="150"/>
        <v>677.41935483870964</v>
      </c>
      <c r="R351" s="12">
        <f t="shared" si="147"/>
        <v>224</v>
      </c>
      <c r="S351" s="21">
        <v>0</v>
      </c>
      <c r="T351" s="13">
        <v>0</v>
      </c>
      <c r="U351" s="13">
        <f t="shared" si="159"/>
        <v>901.41935483870964</v>
      </c>
      <c r="V351" s="13">
        <f t="shared" si="151"/>
        <v>11854.387096774191</v>
      </c>
      <c r="X351" s="13">
        <f t="shared" si="148"/>
        <v>11854.387096774191</v>
      </c>
      <c r="Y351" s="12">
        <f t="shared" si="156"/>
        <v>742.33870967741939</v>
      </c>
      <c r="Z351" s="12">
        <f t="shared" si="152"/>
        <v>606</v>
      </c>
      <c r="AA351" s="1">
        <f t="shared" si="161"/>
        <v>0</v>
      </c>
      <c r="AB351" s="16">
        <f t="shared" si="160"/>
        <v>1348.3387096774195</v>
      </c>
      <c r="AC351" s="16">
        <f t="shared" si="153"/>
        <v>14104.145161290322</v>
      </c>
    </row>
    <row r="352" spans="1:29" x14ac:dyDescent="0.2">
      <c r="A352" s="10" t="s">
        <v>315</v>
      </c>
      <c r="B352" s="11">
        <f t="shared" si="157"/>
        <v>347</v>
      </c>
      <c r="C352" s="11" t="s">
        <v>956</v>
      </c>
      <c r="D352" s="19" t="s">
        <v>50</v>
      </c>
      <c r="E352" s="19" t="s">
        <v>234</v>
      </c>
      <c r="F352" s="20">
        <v>42948</v>
      </c>
      <c r="G352" s="11">
        <v>34</v>
      </c>
      <c r="H352" s="13">
        <f t="shared" si="149"/>
        <v>5483.8709677419356</v>
      </c>
      <c r="I352" s="13">
        <f t="shared" si="154"/>
        <v>0</v>
      </c>
      <c r="J352" s="13">
        <f t="shared" si="155"/>
        <v>274.19354838709677</v>
      </c>
      <c r="L352" s="13">
        <f t="shared" si="158"/>
        <v>877.41935483870964</v>
      </c>
      <c r="N352" s="13">
        <f t="shared" si="164"/>
        <v>5755.8709677419356</v>
      </c>
      <c r="P352" s="13">
        <f t="shared" si="141"/>
        <v>12391.354838709678</v>
      </c>
      <c r="Q352" s="12">
        <f t="shared" si="150"/>
        <v>658.0645161290322</v>
      </c>
      <c r="R352" s="12">
        <f t="shared" si="147"/>
        <v>217</v>
      </c>
      <c r="S352" s="21">
        <v>0</v>
      </c>
      <c r="T352" s="13">
        <v>0</v>
      </c>
      <c r="U352" s="13">
        <f t="shared" si="159"/>
        <v>875.0645161290322</v>
      </c>
      <c r="V352" s="13">
        <f t="shared" si="151"/>
        <v>11516.290322580646</v>
      </c>
      <c r="X352" s="13">
        <f t="shared" si="148"/>
        <v>11516.290322580646</v>
      </c>
      <c r="Y352" s="12">
        <f t="shared" si="156"/>
        <v>721.12903225806451</v>
      </c>
      <c r="Z352" s="12">
        <f t="shared" si="152"/>
        <v>589</v>
      </c>
      <c r="AA352" s="1">
        <f t="shared" si="161"/>
        <v>0</v>
      </c>
      <c r="AB352" s="16">
        <f t="shared" si="160"/>
        <v>1310.1290322580644</v>
      </c>
      <c r="AC352" s="16">
        <f t="shared" si="153"/>
        <v>13701.483870967742</v>
      </c>
    </row>
    <row r="353" spans="1:29" x14ac:dyDescent="0.2">
      <c r="A353" s="10" t="s">
        <v>315</v>
      </c>
      <c r="B353" s="11">
        <f t="shared" si="157"/>
        <v>348</v>
      </c>
      <c r="C353" s="11" t="s">
        <v>565</v>
      </c>
      <c r="D353" s="19" t="s">
        <v>50</v>
      </c>
      <c r="E353" s="19" t="s">
        <v>234</v>
      </c>
      <c r="F353" s="20">
        <v>42948</v>
      </c>
      <c r="G353" s="11">
        <v>22</v>
      </c>
      <c r="H353" s="13">
        <f t="shared" si="149"/>
        <v>3548.3870967741932</v>
      </c>
      <c r="I353" s="13">
        <f t="shared" si="154"/>
        <v>0</v>
      </c>
      <c r="J353" s="13">
        <f t="shared" si="155"/>
        <v>177.41935483870967</v>
      </c>
      <c r="L353" s="13">
        <f t="shared" si="158"/>
        <v>567.74193548387098</v>
      </c>
      <c r="N353" s="13">
        <f t="shared" si="164"/>
        <v>3724.3870967741932</v>
      </c>
      <c r="P353" s="13">
        <f t="shared" si="141"/>
        <v>8017.9354838709669</v>
      </c>
      <c r="Q353" s="12">
        <f t="shared" si="150"/>
        <v>425.80645161290317</v>
      </c>
      <c r="R353" s="12">
        <f t="shared" si="147"/>
        <v>141</v>
      </c>
      <c r="S353" s="21">
        <v>0</v>
      </c>
      <c r="T353" s="13">
        <v>0</v>
      </c>
      <c r="U353" s="13">
        <f t="shared" si="159"/>
        <v>566.80645161290317</v>
      </c>
      <c r="V353" s="13">
        <f t="shared" si="151"/>
        <v>7451.1290322580635</v>
      </c>
      <c r="X353" s="13">
        <f t="shared" si="148"/>
        <v>7451.1290322580635</v>
      </c>
      <c r="Y353" s="12">
        <f t="shared" si="156"/>
        <v>466.61290322580641</v>
      </c>
      <c r="Z353" s="12">
        <f t="shared" si="152"/>
        <v>381</v>
      </c>
      <c r="AA353" s="1">
        <f t="shared" si="161"/>
        <v>0</v>
      </c>
      <c r="AB353" s="16">
        <f t="shared" si="160"/>
        <v>847.61290322580635</v>
      </c>
      <c r="AC353" s="16">
        <f t="shared" si="153"/>
        <v>8865.5483870967728</v>
      </c>
    </row>
    <row r="354" spans="1:29" x14ac:dyDescent="0.2">
      <c r="A354" s="10" t="s">
        <v>315</v>
      </c>
      <c r="B354" s="11">
        <f t="shared" si="157"/>
        <v>349</v>
      </c>
      <c r="C354" s="11" t="s">
        <v>957</v>
      </c>
      <c r="D354" s="19" t="s">
        <v>50</v>
      </c>
      <c r="E354" s="19" t="s">
        <v>234</v>
      </c>
      <c r="F354" s="20">
        <v>42951</v>
      </c>
      <c r="G354" s="11">
        <v>33</v>
      </c>
      <c r="H354" s="13">
        <f t="shared" si="149"/>
        <v>5322.5806451612898</v>
      </c>
      <c r="I354" s="13">
        <f t="shared" si="154"/>
        <v>0</v>
      </c>
      <c r="J354" s="13">
        <f t="shared" si="155"/>
        <v>266.12903225806451</v>
      </c>
      <c r="L354" s="13">
        <f t="shared" si="158"/>
        <v>851.61290322580635</v>
      </c>
      <c r="N354" s="13">
        <f t="shared" si="164"/>
        <v>5586.5806451612898</v>
      </c>
      <c r="P354" s="13">
        <f t="shared" si="141"/>
        <v>12026.903225806451</v>
      </c>
      <c r="Q354" s="12">
        <f t="shared" si="150"/>
        <v>638.70967741935476</v>
      </c>
      <c r="R354" s="12">
        <f t="shared" si="147"/>
        <v>211</v>
      </c>
      <c r="S354" s="21">
        <v>0</v>
      </c>
      <c r="T354" s="13">
        <v>0</v>
      </c>
      <c r="U354" s="13">
        <f t="shared" si="159"/>
        <v>849.70967741935476</v>
      </c>
      <c r="V354" s="13">
        <f t="shared" si="151"/>
        <v>11177.193548387097</v>
      </c>
      <c r="X354" s="13">
        <f t="shared" si="148"/>
        <v>11177.193548387097</v>
      </c>
      <c r="Y354" s="12">
        <f t="shared" si="156"/>
        <v>699.91935483870964</v>
      </c>
      <c r="Z354" s="12">
        <f t="shared" si="152"/>
        <v>572</v>
      </c>
      <c r="AA354" s="1">
        <f t="shared" si="161"/>
        <v>0</v>
      </c>
      <c r="AB354" s="16">
        <f t="shared" si="160"/>
        <v>1271.9193548387098</v>
      </c>
      <c r="AC354" s="16">
        <f t="shared" si="153"/>
        <v>13298.822580645161</v>
      </c>
    </row>
    <row r="355" spans="1:29" x14ac:dyDescent="0.2">
      <c r="A355" s="10" t="s">
        <v>315</v>
      </c>
      <c r="B355" s="11">
        <f t="shared" si="157"/>
        <v>350</v>
      </c>
      <c r="C355" s="11" t="s">
        <v>357</v>
      </c>
      <c r="D355" s="19" t="s">
        <v>50</v>
      </c>
      <c r="E355" s="19" t="s">
        <v>234</v>
      </c>
      <c r="F355" s="20">
        <v>42948</v>
      </c>
      <c r="G355" s="11">
        <v>35</v>
      </c>
      <c r="H355" s="13">
        <f t="shared" si="149"/>
        <v>5645.1612903225805</v>
      </c>
      <c r="I355" s="13">
        <f t="shared" si="154"/>
        <v>0</v>
      </c>
      <c r="J355" s="13">
        <f t="shared" si="155"/>
        <v>282.25806451612902</v>
      </c>
      <c r="L355" s="13">
        <f t="shared" si="158"/>
        <v>903.22580645161281</v>
      </c>
      <c r="N355" s="13">
        <f t="shared" si="164"/>
        <v>5925.1612903225805</v>
      </c>
      <c r="P355" s="13">
        <f t="shared" si="141"/>
        <v>12755.806451612902</v>
      </c>
      <c r="Q355" s="12">
        <f t="shared" si="150"/>
        <v>677.41935483870964</v>
      </c>
      <c r="R355" s="12">
        <f t="shared" si="147"/>
        <v>224</v>
      </c>
      <c r="S355" s="21">
        <v>0</v>
      </c>
      <c r="T355" s="13">
        <v>0</v>
      </c>
      <c r="U355" s="13">
        <f t="shared" si="159"/>
        <v>901.41935483870964</v>
      </c>
      <c r="V355" s="13">
        <f t="shared" si="151"/>
        <v>11854.387096774191</v>
      </c>
      <c r="X355" s="13">
        <f t="shared" si="148"/>
        <v>11854.387096774191</v>
      </c>
      <c r="Y355" s="12">
        <f t="shared" si="156"/>
        <v>742.33870967741939</v>
      </c>
      <c r="Z355" s="12">
        <f t="shared" si="152"/>
        <v>606</v>
      </c>
      <c r="AA355" s="1">
        <f t="shared" si="161"/>
        <v>0</v>
      </c>
      <c r="AB355" s="16">
        <f t="shared" si="160"/>
        <v>1348.3387096774195</v>
      </c>
      <c r="AC355" s="16">
        <f t="shared" si="153"/>
        <v>14104.145161290322</v>
      </c>
    </row>
    <row r="356" spans="1:29" x14ac:dyDescent="0.2">
      <c r="A356" s="10" t="s">
        <v>315</v>
      </c>
      <c r="B356" s="11">
        <f t="shared" si="157"/>
        <v>351</v>
      </c>
      <c r="C356" s="11" t="s">
        <v>958</v>
      </c>
      <c r="D356" s="19" t="s">
        <v>50</v>
      </c>
      <c r="E356" s="19" t="s">
        <v>234</v>
      </c>
      <c r="F356" s="20">
        <v>42948</v>
      </c>
      <c r="G356" s="11">
        <v>10</v>
      </c>
      <c r="H356" s="13">
        <f t="shared" si="149"/>
        <v>1612.9032258064515</v>
      </c>
      <c r="I356" s="13">
        <f t="shared" si="154"/>
        <v>0</v>
      </c>
      <c r="J356" s="13">
        <f t="shared" si="155"/>
        <v>80.645161290322577</v>
      </c>
      <c r="L356" s="13">
        <f t="shared" si="158"/>
        <v>258.06451612903226</v>
      </c>
      <c r="N356" s="13">
        <f t="shared" si="164"/>
        <v>1692.9032258064515</v>
      </c>
      <c r="P356" s="13">
        <f t="shared" si="141"/>
        <v>3644.5161290322576</v>
      </c>
      <c r="Q356" s="12">
        <f t="shared" si="150"/>
        <v>193.54838709677418</v>
      </c>
      <c r="R356" s="12">
        <f t="shared" si="147"/>
        <v>64</v>
      </c>
      <c r="S356" s="21">
        <v>0</v>
      </c>
      <c r="T356" s="13">
        <v>0</v>
      </c>
      <c r="U356" s="13">
        <f t="shared" si="159"/>
        <v>257.54838709677415</v>
      </c>
      <c r="V356" s="13">
        <f t="shared" si="151"/>
        <v>3386.9677419354834</v>
      </c>
      <c r="X356" s="13">
        <f t="shared" si="148"/>
        <v>3386.9677419354834</v>
      </c>
      <c r="Y356" s="12">
        <f t="shared" si="156"/>
        <v>212.09677419354838</v>
      </c>
      <c r="Z356" s="12">
        <f t="shared" si="152"/>
        <v>174</v>
      </c>
      <c r="AA356" s="1">
        <f t="shared" si="161"/>
        <v>0</v>
      </c>
      <c r="AB356" s="16">
        <f t="shared" si="160"/>
        <v>386.09677419354841</v>
      </c>
      <c r="AC356" s="16">
        <f t="shared" si="153"/>
        <v>4030.6129032258059</v>
      </c>
    </row>
    <row r="357" spans="1:29" x14ac:dyDescent="0.2">
      <c r="A357" s="10" t="s">
        <v>315</v>
      </c>
      <c r="B357" s="11">
        <f t="shared" si="157"/>
        <v>352</v>
      </c>
      <c r="C357" s="11" t="s">
        <v>959</v>
      </c>
      <c r="D357" s="19" t="s">
        <v>50</v>
      </c>
      <c r="E357" s="19" t="s">
        <v>234</v>
      </c>
      <c r="F357" s="20">
        <v>42963</v>
      </c>
      <c r="G357" s="11">
        <v>18</v>
      </c>
      <c r="H357" s="13">
        <f t="shared" si="149"/>
        <v>2903.2258064516127</v>
      </c>
      <c r="I357" s="13">
        <f t="shared" si="154"/>
        <v>0</v>
      </c>
      <c r="J357" s="13">
        <f t="shared" si="155"/>
        <v>145.16129032258064</v>
      </c>
      <c r="L357" s="13">
        <f t="shared" si="158"/>
        <v>464.51612903225805</v>
      </c>
      <c r="N357" s="13">
        <f t="shared" si="164"/>
        <v>3047.2258064516127</v>
      </c>
      <c r="P357" s="13">
        <f t="shared" si="141"/>
        <v>6560.1290322580644</v>
      </c>
      <c r="Q357" s="12">
        <f t="shared" si="150"/>
        <v>348.38709677419354</v>
      </c>
      <c r="R357" s="12">
        <f t="shared" si="147"/>
        <v>115</v>
      </c>
      <c r="S357" s="21">
        <v>0</v>
      </c>
      <c r="T357" s="13">
        <v>0</v>
      </c>
      <c r="U357" s="13">
        <f t="shared" si="159"/>
        <v>463.38709677419354</v>
      </c>
      <c r="V357" s="13">
        <f t="shared" si="151"/>
        <v>6096.7419354838712</v>
      </c>
      <c r="X357" s="13">
        <f t="shared" si="148"/>
        <v>6096.7419354838712</v>
      </c>
      <c r="Y357" s="12">
        <f t="shared" si="156"/>
        <v>381.77419354838707</v>
      </c>
      <c r="Z357" s="12">
        <f t="shared" si="152"/>
        <v>312</v>
      </c>
      <c r="AA357" s="1">
        <f t="shared" si="161"/>
        <v>0</v>
      </c>
      <c r="AB357" s="16">
        <f t="shared" si="160"/>
        <v>693.77419354838707</v>
      </c>
      <c r="AC357" s="16">
        <f t="shared" si="153"/>
        <v>7253.9032258064517</v>
      </c>
    </row>
    <row r="358" spans="1:29" x14ac:dyDescent="0.2">
      <c r="A358" s="10" t="s">
        <v>315</v>
      </c>
      <c r="B358" s="11">
        <f t="shared" si="157"/>
        <v>353</v>
      </c>
      <c r="C358" s="11" t="s">
        <v>960</v>
      </c>
      <c r="D358" s="19" t="s">
        <v>50</v>
      </c>
      <c r="E358" s="19" t="s">
        <v>234</v>
      </c>
      <c r="F358" s="20">
        <v>42964</v>
      </c>
      <c r="G358" s="11">
        <v>16</v>
      </c>
      <c r="H358" s="13">
        <f t="shared" si="149"/>
        <v>2580.6451612903224</v>
      </c>
      <c r="I358" s="13">
        <f t="shared" si="154"/>
        <v>0</v>
      </c>
      <c r="J358" s="13">
        <f t="shared" si="155"/>
        <v>129.03225806451613</v>
      </c>
      <c r="L358" s="13">
        <f t="shared" si="158"/>
        <v>412.90322580645159</v>
      </c>
      <c r="N358" s="13">
        <f t="shared" si="164"/>
        <v>2708.6451612903224</v>
      </c>
      <c r="P358" s="13">
        <f t="shared" si="141"/>
        <v>5831.2258064516127</v>
      </c>
      <c r="Q358" s="12">
        <f t="shared" si="150"/>
        <v>309.67741935483866</v>
      </c>
      <c r="R358" s="12">
        <f t="shared" si="147"/>
        <v>103</v>
      </c>
      <c r="S358" s="21">
        <v>0</v>
      </c>
      <c r="T358" s="13">
        <v>0</v>
      </c>
      <c r="U358" s="13">
        <f t="shared" si="159"/>
        <v>412.67741935483866</v>
      </c>
      <c r="V358" s="13">
        <f t="shared" si="151"/>
        <v>5418.5483870967737</v>
      </c>
      <c r="X358" s="13">
        <f t="shared" si="148"/>
        <v>5418.5483870967737</v>
      </c>
      <c r="Y358" s="12">
        <f t="shared" si="156"/>
        <v>339.35483870967744</v>
      </c>
      <c r="Z358" s="12">
        <f t="shared" si="152"/>
        <v>277</v>
      </c>
      <c r="AA358" s="1">
        <f t="shared" si="161"/>
        <v>0</v>
      </c>
      <c r="AB358" s="16">
        <f t="shared" si="160"/>
        <v>616.35483870967744</v>
      </c>
      <c r="AC358" s="16">
        <f t="shared" si="153"/>
        <v>6447.5806451612898</v>
      </c>
    </row>
    <row r="359" spans="1:29" x14ac:dyDescent="0.2">
      <c r="A359" s="10" t="s">
        <v>315</v>
      </c>
      <c r="B359" s="11">
        <f t="shared" si="157"/>
        <v>354</v>
      </c>
      <c r="C359" s="11" t="s">
        <v>961</v>
      </c>
      <c r="D359" s="19" t="s">
        <v>50</v>
      </c>
      <c r="E359" s="19" t="s">
        <v>234</v>
      </c>
      <c r="F359" s="20">
        <v>42948</v>
      </c>
      <c r="G359" s="11">
        <v>2</v>
      </c>
      <c r="H359" s="13">
        <f t="shared" si="149"/>
        <v>322.58064516129031</v>
      </c>
      <c r="I359" s="13">
        <f t="shared" si="154"/>
        <v>0</v>
      </c>
      <c r="J359" s="13">
        <f t="shared" si="155"/>
        <v>16.129032258064516</v>
      </c>
      <c r="L359" s="13">
        <f t="shared" si="158"/>
        <v>51.612903225806448</v>
      </c>
      <c r="N359" s="13">
        <f t="shared" ref="N359:N360" si="165">((4230)/G$3)*G359</f>
        <v>272.90322580645159</v>
      </c>
      <c r="P359" s="13">
        <f t="shared" si="141"/>
        <v>663.22580645161293</v>
      </c>
      <c r="Q359" s="12">
        <f t="shared" si="150"/>
        <v>38.709677419354833</v>
      </c>
      <c r="R359" s="12">
        <f t="shared" si="147"/>
        <v>12</v>
      </c>
      <c r="S359" s="21">
        <v>0</v>
      </c>
      <c r="T359" s="13">
        <v>0</v>
      </c>
      <c r="U359" s="13">
        <f t="shared" si="159"/>
        <v>50.709677419354833</v>
      </c>
      <c r="V359" s="13">
        <f t="shared" si="151"/>
        <v>612.51612903225805</v>
      </c>
      <c r="X359" s="13">
        <f t="shared" si="148"/>
        <v>612.51612903225805</v>
      </c>
      <c r="Y359" s="12">
        <f t="shared" si="156"/>
        <v>42.41935483870968</v>
      </c>
      <c r="Z359" s="12">
        <f t="shared" si="152"/>
        <v>32</v>
      </c>
      <c r="AA359" s="1">
        <f t="shared" si="161"/>
        <v>0</v>
      </c>
      <c r="AB359" s="16">
        <f t="shared" si="160"/>
        <v>74.41935483870968</v>
      </c>
      <c r="AC359" s="16">
        <f t="shared" si="153"/>
        <v>737.64516129032256</v>
      </c>
    </row>
    <row r="360" spans="1:29" x14ac:dyDescent="0.2">
      <c r="A360" s="10" t="s">
        <v>315</v>
      </c>
      <c r="B360" s="11">
        <f t="shared" si="157"/>
        <v>355</v>
      </c>
      <c r="C360" s="11" t="s">
        <v>962</v>
      </c>
      <c r="D360" s="19" t="s">
        <v>50</v>
      </c>
      <c r="E360" s="19" t="s">
        <v>234</v>
      </c>
      <c r="F360" s="20">
        <v>42948</v>
      </c>
      <c r="G360" s="11">
        <v>2</v>
      </c>
      <c r="H360" s="13">
        <f t="shared" si="149"/>
        <v>322.58064516129031</v>
      </c>
      <c r="I360" s="13">
        <f t="shared" si="154"/>
        <v>0</v>
      </c>
      <c r="J360" s="13">
        <f t="shared" si="155"/>
        <v>16.129032258064516</v>
      </c>
      <c r="L360" s="13">
        <f t="shared" si="158"/>
        <v>51.612903225806448</v>
      </c>
      <c r="N360" s="13">
        <f t="shared" si="165"/>
        <v>272.90322580645159</v>
      </c>
      <c r="P360" s="13">
        <f t="shared" si="141"/>
        <v>663.22580645161293</v>
      </c>
      <c r="Q360" s="12">
        <f t="shared" si="150"/>
        <v>38.709677419354833</v>
      </c>
      <c r="R360" s="12">
        <f t="shared" si="147"/>
        <v>12</v>
      </c>
      <c r="S360" s="21">
        <v>0</v>
      </c>
      <c r="T360" s="13">
        <v>0</v>
      </c>
      <c r="U360" s="13">
        <f t="shared" si="159"/>
        <v>50.709677419354833</v>
      </c>
      <c r="V360" s="13">
        <f t="shared" si="151"/>
        <v>612.51612903225805</v>
      </c>
      <c r="X360" s="13">
        <f t="shared" si="148"/>
        <v>612.51612903225805</v>
      </c>
      <c r="Y360" s="12">
        <f t="shared" si="156"/>
        <v>42.41935483870968</v>
      </c>
      <c r="Z360" s="12">
        <f t="shared" si="152"/>
        <v>32</v>
      </c>
      <c r="AA360" s="1">
        <f t="shared" si="161"/>
        <v>0</v>
      </c>
      <c r="AB360" s="16">
        <f t="shared" si="160"/>
        <v>74.41935483870968</v>
      </c>
      <c r="AC360" s="16">
        <f t="shared" si="153"/>
        <v>737.64516129032256</v>
      </c>
    </row>
    <row r="361" spans="1:29" x14ac:dyDescent="0.2">
      <c r="A361" s="10" t="s">
        <v>315</v>
      </c>
      <c r="B361" s="11">
        <f t="shared" si="157"/>
        <v>356</v>
      </c>
      <c r="C361" s="11" t="s">
        <v>963</v>
      </c>
      <c r="D361" s="19" t="s">
        <v>50</v>
      </c>
      <c r="E361" s="19" t="s">
        <v>234</v>
      </c>
      <c r="F361" s="20">
        <v>42972</v>
      </c>
      <c r="G361" s="11">
        <v>8</v>
      </c>
      <c r="H361" s="13">
        <f t="shared" si="149"/>
        <v>1290.3225806451612</v>
      </c>
      <c r="I361" s="13">
        <f t="shared" si="154"/>
        <v>0</v>
      </c>
      <c r="J361" s="13">
        <f t="shared" si="155"/>
        <v>64.516129032258064</v>
      </c>
      <c r="L361" s="13">
        <f t="shared" si="158"/>
        <v>206.45161290322579</v>
      </c>
      <c r="N361" s="13">
        <f t="shared" si="164"/>
        <v>1354.3225806451612</v>
      </c>
      <c r="P361" s="13">
        <f t="shared" si="141"/>
        <v>2915.6129032258063</v>
      </c>
      <c r="Q361" s="12">
        <f t="shared" si="150"/>
        <v>154.83870967741933</v>
      </c>
      <c r="R361" s="12">
        <f t="shared" si="147"/>
        <v>52</v>
      </c>
      <c r="S361" s="21">
        <v>0</v>
      </c>
      <c r="T361" s="13">
        <v>0</v>
      </c>
      <c r="U361" s="13">
        <f t="shared" si="159"/>
        <v>206.83870967741933</v>
      </c>
      <c r="V361" s="13">
        <f t="shared" si="151"/>
        <v>2708.7741935483868</v>
      </c>
      <c r="X361" s="13">
        <f t="shared" si="148"/>
        <v>2708.7741935483868</v>
      </c>
      <c r="Y361" s="12">
        <f t="shared" si="156"/>
        <v>169.67741935483872</v>
      </c>
      <c r="Z361" s="12">
        <f t="shared" si="152"/>
        <v>139</v>
      </c>
      <c r="AA361" s="1">
        <f t="shared" si="161"/>
        <v>0</v>
      </c>
      <c r="AB361" s="16">
        <f t="shared" si="160"/>
        <v>308.67741935483872</v>
      </c>
      <c r="AC361" s="16">
        <f t="shared" si="153"/>
        <v>3224.2903225806449</v>
      </c>
    </row>
    <row r="362" spans="1:29" x14ac:dyDescent="0.2">
      <c r="A362" s="10" t="s">
        <v>315</v>
      </c>
      <c r="B362" s="11">
        <f t="shared" si="157"/>
        <v>357</v>
      </c>
      <c r="C362" s="11" t="s">
        <v>964</v>
      </c>
      <c r="D362" s="19" t="s">
        <v>50</v>
      </c>
      <c r="E362" s="19" t="s">
        <v>234</v>
      </c>
      <c r="F362" s="20">
        <v>42973</v>
      </c>
      <c r="G362" s="11">
        <v>4</v>
      </c>
      <c r="H362" s="13">
        <f t="shared" si="149"/>
        <v>645.16129032258061</v>
      </c>
      <c r="I362" s="13">
        <f t="shared" si="154"/>
        <v>0</v>
      </c>
      <c r="J362" s="13">
        <f t="shared" si="155"/>
        <v>32.258064516129032</v>
      </c>
      <c r="L362" s="13">
        <f t="shared" si="158"/>
        <v>103.2258064516129</v>
      </c>
      <c r="N362" s="13">
        <f t="shared" si="164"/>
        <v>677.16129032258061</v>
      </c>
      <c r="P362" s="13">
        <f t="shared" si="141"/>
        <v>1457.8064516129032</v>
      </c>
      <c r="Q362" s="12">
        <f t="shared" si="150"/>
        <v>77.419354838709666</v>
      </c>
      <c r="R362" s="12">
        <f t="shared" si="147"/>
        <v>26</v>
      </c>
      <c r="S362" s="21">
        <v>0</v>
      </c>
      <c r="T362" s="13">
        <v>0</v>
      </c>
      <c r="U362" s="13">
        <f t="shared" si="159"/>
        <v>103.41935483870967</v>
      </c>
      <c r="V362" s="13">
        <f t="shared" si="151"/>
        <v>1354.3870967741934</v>
      </c>
      <c r="X362" s="13">
        <f t="shared" si="148"/>
        <v>1354.3870967741934</v>
      </c>
      <c r="Y362" s="12">
        <f t="shared" si="156"/>
        <v>84.838709677419359</v>
      </c>
      <c r="Z362" s="12">
        <f t="shared" si="152"/>
        <v>70</v>
      </c>
      <c r="AA362" s="1">
        <f t="shared" si="161"/>
        <v>0</v>
      </c>
      <c r="AB362" s="16">
        <f t="shared" si="160"/>
        <v>154.83870967741936</v>
      </c>
      <c r="AC362" s="16">
        <f t="shared" si="153"/>
        <v>1612.6451612903224</v>
      </c>
    </row>
    <row r="363" spans="1:29" x14ac:dyDescent="0.2">
      <c r="A363" s="10" t="s">
        <v>315</v>
      </c>
      <c r="B363" s="11">
        <f t="shared" si="157"/>
        <v>358</v>
      </c>
      <c r="C363" s="11" t="s">
        <v>965</v>
      </c>
      <c r="D363" s="19" t="s">
        <v>50</v>
      </c>
      <c r="E363" s="19" t="s">
        <v>234</v>
      </c>
      <c r="F363" s="20">
        <v>42976</v>
      </c>
      <c r="G363" s="11">
        <v>3</v>
      </c>
      <c r="H363" s="13">
        <f t="shared" si="149"/>
        <v>483.87096774193549</v>
      </c>
      <c r="I363" s="13">
        <f t="shared" si="154"/>
        <v>0</v>
      </c>
      <c r="J363" s="13">
        <f t="shared" si="155"/>
        <v>24.193548387096776</v>
      </c>
      <c r="L363" s="13">
        <f t="shared" si="158"/>
        <v>77.419354838709666</v>
      </c>
      <c r="N363" s="13">
        <f t="shared" si="164"/>
        <v>507.87096774193549</v>
      </c>
      <c r="P363" s="13">
        <f t="shared" si="141"/>
        <v>1093.3548387096776</v>
      </c>
      <c r="Q363" s="12">
        <f t="shared" si="150"/>
        <v>58.064516129032256</v>
      </c>
      <c r="R363" s="12">
        <f t="shared" si="147"/>
        <v>20</v>
      </c>
      <c r="S363" s="21">
        <v>0</v>
      </c>
      <c r="T363" s="13">
        <v>0</v>
      </c>
      <c r="U363" s="13">
        <f t="shared" si="159"/>
        <v>78.064516129032256</v>
      </c>
      <c r="V363" s="13">
        <f t="shared" si="151"/>
        <v>1015.2903225806454</v>
      </c>
      <c r="X363" s="13">
        <f t="shared" si="148"/>
        <v>1015.2903225806454</v>
      </c>
      <c r="Y363" s="12">
        <f t="shared" si="156"/>
        <v>63.62903225806452</v>
      </c>
      <c r="Z363" s="12">
        <f t="shared" si="152"/>
        <v>52</v>
      </c>
      <c r="AA363" s="1">
        <f t="shared" si="161"/>
        <v>0</v>
      </c>
      <c r="AB363" s="16">
        <f t="shared" si="160"/>
        <v>115.62903225806451</v>
      </c>
      <c r="AC363" s="16">
        <f t="shared" si="153"/>
        <v>1208.983870967742</v>
      </c>
    </row>
    <row r="364" spans="1:29" x14ac:dyDescent="0.2">
      <c r="A364" s="10" t="s">
        <v>315</v>
      </c>
      <c r="B364" s="11">
        <f t="shared" si="157"/>
        <v>359</v>
      </c>
      <c r="C364" s="11" t="s">
        <v>84</v>
      </c>
      <c r="D364" s="19" t="s">
        <v>50</v>
      </c>
      <c r="E364" s="19" t="s">
        <v>484</v>
      </c>
      <c r="F364" s="20">
        <v>42947</v>
      </c>
      <c r="G364" s="11">
        <v>36</v>
      </c>
      <c r="H364" s="13">
        <f t="shared" si="149"/>
        <v>5806.4516129032254</v>
      </c>
      <c r="I364" s="13">
        <f t="shared" si="154"/>
        <v>0</v>
      </c>
      <c r="J364" s="13">
        <f t="shared" si="155"/>
        <v>290.32258064516128</v>
      </c>
      <c r="L364" s="13">
        <f t="shared" si="158"/>
        <v>929.0322580645161</v>
      </c>
      <c r="N364" s="13">
        <f t="shared" ref="N364:N380" si="166">((4230)/G$3)*G364</f>
        <v>4912.2580645161288</v>
      </c>
      <c r="P364" s="13">
        <f t="shared" si="141"/>
        <v>11938.06451612903</v>
      </c>
      <c r="Q364" s="12">
        <f t="shared" si="150"/>
        <v>696.77419354838707</v>
      </c>
      <c r="R364" s="12">
        <f t="shared" si="147"/>
        <v>209</v>
      </c>
      <c r="S364" s="21">
        <v>0</v>
      </c>
      <c r="T364" s="13">
        <v>0</v>
      </c>
      <c r="U364" s="13">
        <f t="shared" si="159"/>
        <v>905.77419354838707</v>
      </c>
      <c r="V364" s="13">
        <f t="shared" si="151"/>
        <v>11032.290322580644</v>
      </c>
      <c r="X364" s="13">
        <f t="shared" si="148"/>
        <v>11032.290322580644</v>
      </c>
      <c r="Y364" s="12">
        <f t="shared" si="156"/>
        <v>763.54838709677415</v>
      </c>
      <c r="Z364" s="12">
        <f t="shared" si="152"/>
        <v>568</v>
      </c>
      <c r="AA364" s="1">
        <f t="shared" si="161"/>
        <v>0</v>
      </c>
      <c r="AB364" s="16">
        <f t="shared" si="160"/>
        <v>1331.5483870967741</v>
      </c>
      <c r="AC364" s="16">
        <f t="shared" si="153"/>
        <v>13269.612903225805</v>
      </c>
    </row>
    <row r="365" spans="1:29" x14ac:dyDescent="0.2">
      <c r="A365" s="10" t="s">
        <v>315</v>
      </c>
      <c r="B365" s="11">
        <f t="shared" si="157"/>
        <v>360</v>
      </c>
      <c r="C365" s="11" t="s">
        <v>966</v>
      </c>
      <c r="D365" s="19" t="s">
        <v>50</v>
      </c>
      <c r="E365" s="19" t="s">
        <v>484</v>
      </c>
      <c r="F365" s="20">
        <v>42947</v>
      </c>
      <c r="G365" s="11">
        <v>35</v>
      </c>
      <c r="H365" s="13">
        <f t="shared" si="149"/>
        <v>5645.1612903225805</v>
      </c>
      <c r="I365" s="13">
        <f t="shared" si="154"/>
        <v>0</v>
      </c>
      <c r="J365" s="13">
        <f t="shared" si="155"/>
        <v>282.25806451612902</v>
      </c>
      <c r="L365" s="13">
        <f t="shared" si="158"/>
        <v>903.22580645161281</v>
      </c>
      <c r="N365" s="13">
        <f t="shared" si="166"/>
        <v>4775.8064516129025</v>
      </c>
      <c r="P365" s="13">
        <f t="shared" si="141"/>
        <v>11606.451612903224</v>
      </c>
      <c r="Q365" s="12">
        <f t="shared" si="150"/>
        <v>677.41935483870964</v>
      </c>
      <c r="R365" s="12">
        <f t="shared" si="147"/>
        <v>204</v>
      </c>
      <c r="S365" s="21">
        <v>0</v>
      </c>
      <c r="T365" s="13">
        <v>0</v>
      </c>
      <c r="U365" s="13">
        <f t="shared" si="159"/>
        <v>881.41935483870964</v>
      </c>
      <c r="V365" s="13">
        <f t="shared" si="151"/>
        <v>10725.032258064513</v>
      </c>
      <c r="X365" s="13">
        <f t="shared" si="148"/>
        <v>10725.032258064513</v>
      </c>
      <c r="Y365" s="12">
        <f t="shared" si="156"/>
        <v>742.33870967741939</v>
      </c>
      <c r="Z365" s="12">
        <f t="shared" si="152"/>
        <v>552</v>
      </c>
      <c r="AA365" s="1">
        <f t="shared" si="161"/>
        <v>0</v>
      </c>
      <c r="AB365" s="16">
        <f t="shared" si="160"/>
        <v>1294.3387096774195</v>
      </c>
      <c r="AC365" s="16">
        <f t="shared" si="153"/>
        <v>12900.790322580644</v>
      </c>
    </row>
    <row r="366" spans="1:29" x14ac:dyDescent="0.2">
      <c r="A366" s="10" t="s">
        <v>315</v>
      </c>
      <c r="B366" s="11">
        <f t="shared" si="157"/>
        <v>361</v>
      </c>
      <c r="C366" s="11" t="s">
        <v>967</v>
      </c>
      <c r="D366" s="19" t="s">
        <v>50</v>
      </c>
      <c r="E366" s="19" t="s">
        <v>484</v>
      </c>
      <c r="F366" s="20">
        <v>42948</v>
      </c>
      <c r="G366" s="11">
        <v>33</v>
      </c>
      <c r="H366" s="13">
        <f t="shared" si="149"/>
        <v>5322.5806451612898</v>
      </c>
      <c r="I366" s="13">
        <f t="shared" si="154"/>
        <v>0</v>
      </c>
      <c r="J366" s="13">
        <f t="shared" si="155"/>
        <v>266.12903225806451</v>
      </c>
      <c r="L366" s="13">
        <f t="shared" si="158"/>
        <v>851.61290322580635</v>
      </c>
      <c r="N366" s="13">
        <f t="shared" si="166"/>
        <v>4502.9032258064508</v>
      </c>
      <c r="P366" s="13">
        <f t="shared" si="141"/>
        <v>10943.225806451612</v>
      </c>
      <c r="Q366" s="12">
        <f t="shared" si="150"/>
        <v>638.70967741935476</v>
      </c>
      <c r="R366" s="12">
        <f t="shared" si="147"/>
        <v>192</v>
      </c>
      <c r="S366" s="21">
        <v>0</v>
      </c>
      <c r="T366" s="13">
        <v>0</v>
      </c>
      <c r="U366" s="13">
        <f t="shared" si="159"/>
        <v>830.70967741935476</v>
      </c>
      <c r="V366" s="13">
        <f t="shared" si="151"/>
        <v>10112.516129032258</v>
      </c>
      <c r="X366" s="13">
        <f t="shared" si="148"/>
        <v>10112.516129032258</v>
      </c>
      <c r="Y366" s="12">
        <f t="shared" si="156"/>
        <v>699.91935483870964</v>
      </c>
      <c r="Z366" s="12">
        <f t="shared" si="152"/>
        <v>520</v>
      </c>
      <c r="AA366" s="1">
        <f t="shared" si="161"/>
        <v>0</v>
      </c>
      <c r="AB366" s="16">
        <f t="shared" si="160"/>
        <v>1219.9193548387098</v>
      </c>
      <c r="AC366" s="16">
        <f t="shared" si="153"/>
        <v>12163.145161290322</v>
      </c>
    </row>
    <row r="367" spans="1:29" x14ac:dyDescent="0.2">
      <c r="A367" s="10" t="s">
        <v>315</v>
      </c>
      <c r="B367" s="11">
        <f t="shared" si="157"/>
        <v>362</v>
      </c>
      <c r="C367" s="11" t="s">
        <v>968</v>
      </c>
      <c r="D367" s="19" t="s">
        <v>50</v>
      </c>
      <c r="E367" s="19" t="s">
        <v>484</v>
      </c>
      <c r="F367" s="20">
        <v>42949</v>
      </c>
      <c r="G367" s="11">
        <v>28</v>
      </c>
      <c r="H367" s="13">
        <f t="shared" si="149"/>
        <v>4516.1290322580644</v>
      </c>
      <c r="I367" s="13">
        <f t="shared" si="154"/>
        <v>0</v>
      </c>
      <c r="J367" s="13">
        <f t="shared" si="155"/>
        <v>225.80645161290323</v>
      </c>
      <c r="L367" s="13">
        <f t="shared" si="158"/>
        <v>722.58064516129025</v>
      </c>
      <c r="N367" s="13">
        <f t="shared" si="166"/>
        <v>3820.645161290322</v>
      </c>
      <c r="P367" s="13">
        <f t="shared" si="141"/>
        <v>9285.1612903225796</v>
      </c>
      <c r="Q367" s="12">
        <f t="shared" si="150"/>
        <v>541.93548387096769</v>
      </c>
      <c r="R367" s="12">
        <f t="shared" si="147"/>
        <v>163</v>
      </c>
      <c r="S367" s="21">
        <v>0</v>
      </c>
      <c r="T367" s="13">
        <v>0</v>
      </c>
      <c r="U367" s="13">
        <f t="shared" si="159"/>
        <v>704.93548387096769</v>
      </c>
      <c r="V367" s="13">
        <f t="shared" si="151"/>
        <v>8580.2258064516118</v>
      </c>
      <c r="X367" s="13">
        <f t="shared" si="148"/>
        <v>8580.2258064516118</v>
      </c>
      <c r="Y367" s="12">
        <f t="shared" si="156"/>
        <v>593.87096774193549</v>
      </c>
      <c r="Z367" s="12">
        <f t="shared" si="152"/>
        <v>442</v>
      </c>
      <c r="AA367" s="1">
        <f t="shared" si="161"/>
        <v>0</v>
      </c>
      <c r="AB367" s="16">
        <f t="shared" si="160"/>
        <v>1035.8709677419356</v>
      </c>
      <c r="AC367" s="16">
        <f t="shared" si="153"/>
        <v>10321.032258064515</v>
      </c>
    </row>
    <row r="368" spans="1:29" x14ac:dyDescent="0.2">
      <c r="A368" s="10" t="s">
        <v>315</v>
      </c>
      <c r="B368" s="11">
        <f t="shared" si="157"/>
        <v>363</v>
      </c>
      <c r="C368" s="11" t="s">
        <v>969</v>
      </c>
      <c r="D368" s="19" t="s">
        <v>50</v>
      </c>
      <c r="E368" s="19" t="s">
        <v>484</v>
      </c>
      <c r="F368" s="20">
        <v>42950</v>
      </c>
      <c r="G368" s="11">
        <v>25</v>
      </c>
      <c r="H368" s="13">
        <f t="shared" si="149"/>
        <v>4032.2580645161288</v>
      </c>
      <c r="I368" s="13">
        <f t="shared" si="154"/>
        <v>0</v>
      </c>
      <c r="J368" s="13">
        <f t="shared" si="155"/>
        <v>201.61290322580646</v>
      </c>
      <c r="L368" s="13">
        <f t="shared" si="158"/>
        <v>645.16129032258061</v>
      </c>
      <c r="N368" s="13">
        <f t="shared" si="166"/>
        <v>3411.2903225806449</v>
      </c>
      <c r="P368" s="13">
        <f t="shared" si="141"/>
        <v>8290.322580645161</v>
      </c>
      <c r="Q368" s="12">
        <f t="shared" si="150"/>
        <v>483.87096774193543</v>
      </c>
      <c r="R368" s="12">
        <f t="shared" si="147"/>
        <v>146</v>
      </c>
      <c r="S368" s="21">
        <v>0</v>
      </c>
      <c r="T368" s="13">
        <v>0</v>
      </c>
      <c r="U368" s="13">
        <f t="shared" si="159"/>
        <v>629.87096774193537</v>
      </c>
      <c r="V368" s="13">
        <f t="shared" si="151"/>
        <v>7660.4516129032254</v>
      </c>
      <c r="X368" s="13">
        <f t="shared" si="148"/>
        <v>7660.4516129032254</v>
      </c>
      <c r="Y368" s="12">
        <f t="shared" si="156"/>
        <v>530.24193548387098</v>
      </c>
      <c r="Z368" s="12">
        <f t="shared" si="152"/>
        <v>394</v>
      </c>
      <c r="AA368" s="1">
        <f t="shared" si="161"/>
        <v>0</v>
      </c>
      <c r="AB368" s="16">
        <f t="shared" si="160"/>
        <v>924.24193548387098</v>
      </c>
      <c r="AC368" s="16">
        <f t="shared" si="153"/>
        <v>9214.5645161290322</v>
      </c>
    </row>
    <row r="369" spans="1:29" x14ac:dyDescent="0.2">
      <c r="A369" s="10" t="s">
        <v>315</v>
      </c>
      <c r="B369" s="11">
        <f t="shared" si="157"/>
        <v>364</v>
      </c>
      <c r="C369" s="11" t="s">
        <v>329</v>
      </c>
      <c r="D369" s="19" t="s">
        <v>50</v>
      </c>
      <c r="E369" s="19" t="s">
        <v>484</v>
      </c>
      <c r="F369" s="20">
        <v>42967</v>
      </c>
      <c r="G369" s="11">
        <v>2</v>
      </c>
      <c r="H369" s="13">
        <f t="shared" si="149"/>
        <v>322.58064516129031</v>
      </c>
      <c r="I369" s="13">
        <f t="shared" si="154"/>
        <v>0</v>
      </c>
      <c r="J369" s="13">
        <f t="shared" si="155"/>
        <v>16.129032258064516</v>
      </c>
      <c r="L369" s="13">
        <f t="shared" si="158"/>
        <v>51.612903225806448</v>
      </c>
      <c r="N369" s="13">
        <f t="shared" si="166"/>
        <v>272.90322580645159</v>
      </c>
      <c r="P369" s="13">
        <f t="shared" si="141"/>
        <v>663.22580645161293</v>
      </c>
      <c r="Q369" s="12">
        <f t="shared" si="150"/>
        <v>38.709677419354833</v>
      </c>
      <c r="R369" s="12">
        <f t="shared" si="147"/>
        <v>12</v>
      </c>
      <c r="S369" s="21">
        <v>0</v>
      </c>
      <c r="T369" s="13">
        <v>0</v>
      </c>
      <c r="U369" s="13">
        <f t="shared" si="159"/>
        <v>50.709677419354833</v>
      </c>
      <c r="V369" s="13">
        <f t="shared" si="151"/>
        <v>612.51612903225805</v>
      </c>
      <c r="X369" s="13">
        <f t="shared" si="148"/>
        <v>612.51612903225805</v>
      </c>
      <c r="Y369" s="12">
        <f t="shared" si="156"/>
        <v>42.41935483870968</v>
      </c>
      <c r="Z369" s="12">
        <f t="shared" si="152"/>
        <v>32</v>
      </c>
      <c r="AA369" s="1">
        <f t="shared" si="161"/>
        <v>0</v>
      </c>
      <c r="AB369" s="16">
        <f t="shared" si="160"/>
        <v>74.41935483870968</v>
      </c>
      <c r="AC369" s="16">
        <f t="shared" si="153"/>
        <v>737.64516129032256</v>
      </c>
    </row>
    <row r="370" spans="1:29" x14ac:dyDescent="0.2">
      <c r="A370" s="10" t="s">
        <v>315</v>
      </c>
      <c r="B370" s="11">
        <f t="shared" si="157"/>
        <v>365</v>
      </c>
      <c r="C370" s="11" t="s">
        <v>970</v>
      </c>
      <c r="D370" s="19" t="s">
        <v>50</v>
      </c>
      <c r="E370" s="19" t="s">
        <v>484</v>
      </c>
      <c r="F370" s="20">
        <v>42957</v>
      </c>
      <c r="G370" s="11">
        <v>21</v>
      </c>
      <c r="H370" s="13">
        <f t="shared" si="149"/>
        <v>3387.0967741935483</v>
      </c>
      <c r="I370" s="13">
        <f t="shared" si="154"/>
        <v>0</v>
      </c>
      <c r="J370" s="13">
        <f t="shared" si="155"/>
        <v>169.35483870967744</v>
      </c>
      <c r="L370" s="13">
        <f t="shared" si="158"/>
        <v>541.93548387096769</v>
      </c>
      <c r="N370" s="13">
        <f t="shared" si="166"/>
        <v>2865.4838709677415</v>
      </c>
      <c r="P370" s="13">
        <f t="shared" si="141"/>
        <v>6963.8709677419347</v>
      </c>
      <c r="Q370" s="12">
        <f t="shared" si="150"/>
        <v>406.45161290322579</v>
      </c>
      <c r="R370" s="12">
        <f t="shared" si="147"/>
        <v>122</v>
      </c>
      <c r="S370" s="21">
        <v>0</v>
      </c>
      <c r="T370" s="13">
        <v>0</v>
      </c>
      <c r="U370" s="13">
        <f t="shared" si="159"/>
        <v>528.45161290322585</v>
      </c>
      <c r="V370" s="13">
        <f t="shared" si="151"/>
        <v>6435.4193548387084</v>
      </c>
      <c r="X370" s="13">
        <f t="shared" si="148"/>
        <v>6435.4193548387084</v>
      </c>
      <c r="Y370" s="12">
        <f t="shared" si="156"/>
        <v>445.40322580645164</v>
      </c>
      <c r="Z370" s="12">
        <f t="shared" si="152"/>
        <v>331</v>
      </c>
      <c r="AA370" s="1">
        <f t="shared" si="161"/>
        <v>0</v>
      </c>
      <c r="AB370" s="16">
        <f t="shared" si="160"/>
        <v>776.4032258064517</v>
      </c>
      <c r="AC370" s="16">
        <f t="shared" si="153"/>
        <v>7740.2741935483864</v>
      </c>
    </row>
    <row r="371" spans="1:29" x14ac:dyDescent="0.2">
      <c r="A371" s="10" t="s">
        <v>315</v>
      </c>
      <c r="B371" s="11">
        <f t="shared" si="157"/>
        <v>366</v>
      </c>
      <c r="C371" s="11" t="s">
        <v>971</v>
      </c>
      <c r="D371" s="19" t="s">
        <v>50</v>
      </c>
      <c r="E371" s="19" t="s">
        <v>484</v>
      </c>
      <c r="F371" s="20">
        <v>42958</v>
      </c>
      <c r="G371" s="11">
        <v>17.5</v>
      </c>
      <c r="H371" s="13">
        <f t="shared" si="149"/>
        <v>2822.5806451612902</v>
      </c>
      <c r="I371" s="13">
        <f t="shared" si="154"/>
        <v>0</v>
      </c>
      <c r="J371" s="13">
        <f t="shared" si="155"/>
        <v>141.12903225806451</v>
      </c>
      <c r="L371" s="13">
        <f t="shared" si="158"/>
        <v>451.61290322580641</v>
      </c>
      <c r="N371" s="13">
        <f t="shared" si="166"/>
        <v>2387.9032258064512</v>
      </c>
      <c r="P371" s="13">
        <f t="shared" si="141"/>
        <v>5803.2258064516118</v>
      </c>
      <c r="Q371" s="12">
        <f t="shared" si="150"/>
        <v>338.70967741935482</v>
      </c>
      <c r="R371" s="12">
        <f t="shared" si="147"/>
        <v>102</v>
      </c>
      <c r="S371" s="21">
        <v>0</v>
      </c>
      <c r="T371" s="13">
        <v>0</v>
      </c>
      <c r="U371" s="13">
        <f t="shared" si="159"/>
        <v>440.70967741935482</v>
      </c>
      <c r="V371" s="13">
        <f t="shared" si="151"/>
        <v>5362.5161290322567</v>
      </c>
      <c r="X371" s="13">
        <f t="shared" si="148"/>
        <v>5362.5161290322567</v>
      </c>
      <c r="Y371" s="12">
        <f t="shared" si="156"/>
        <v>371.16935483870969</v>
      </c>
      <c r="Z371" s="12">
        <f t="shared" si="152"/>
        <v>276</v>
      </c>
      <c r="AA371" s="1">
        <f t="shared" si="161"/>
        <v>0</v>
      </c>
      <c r="AB371" s="16">
        <f t="shared" si="160"/>
        <v>647.16935483870975</v>
      </c>
      <c r="AC371" s="16">
        <f t="shared" si="153"/>
        <v>6450.395161290322</v>
      </c>
    </row>
    <row r="372" spans="1:29" x14ac:dyDescent="0.2">
      <c r="A372" s="10" t="s">
        <v>315</v>
      </c>
      <c r="B372" s="11">
        <f t="shared" si="157"/>
        <v>367</v>
      </c>
      <c r="C372" s="11" t="s">
        <v>972</v>
      </c>
      <c r="D372" s="19" t="s">
        <v>50</v>
      </c>
      <c r="E372" s="19" t="s">
        <v>484</v>
      </c>
      <c r="F372" s="20">
        <v>42959</v>
      </c>
      <c r="G372" s="11">
        <v>24</v>
      </c>
      <c r="H372" s="13">
        <f t="shared" si="149"/>
        <v>3870.9677419354839</v>
      </c>
      <c r="I372" s="13">
        <f t="shared" si="154"/>
        <v>0</v>
      </c>
      <c r="J372" s="13">
        <f t="shared" si="155"/>
        <v>193.54838709677421</v>
      </c>
      <c r="L372" s="13">
        <f t="shared" si="158"/>
        <v>619.35483870967732</v>
      </c>
      <c r="N372" s="13">
        <f t="shared" si="166"/>
        <v>3274.838709677419</v>
      </c>
      <c r="P372" s="13">
        <f t="shared" si="141"/>
        <v>7958.7096774193542</v>
      </c>
      <c r="Q372" s="12">
        <f t="shared" si="150"/>
        <v>464.51612903225805</v>
      </c>
      <c r="R372" s="12">
        <f t="shared" si="147"/>
        <v>140</v>
      </c>
      <c r="S372" s="21">
        <v>0</v>
      </c>
      <c r="T372" s="13">
        <v>0</v>
      </c>
      <c r="U372" s="13">
        <f t="shared" si="159"/>
        <v>604.51612903225805</v>
      </c>
      <c r="V372" s="13">
        <f t="shared" si="151"/>
        <v>7354.1935483870966</v>
      </c>
      <c r="X372" s="13">
        <f t="shared" si="148"/>
        <v>7354.1935483870966</v>
      </c>
      <c r="Y372" s="12">
        <f t="shared" si="156"/>
        <v>509.03225806451616</v>
      </c>
      <c r="Z372" s="12">
        <f t="shared" si="152"/>
        <v>379</v>
      </c>
      <c r="AA372" s="1">
        <f t="shared" si="161"/>
        <v>0</v>
      </c>
      <c r="AB372" s="16">
        <f t="shared" si="160"/>
        <v>888.0322580645161</v>
      </c>
      <c r="AC372" s="16">
        <f t="shared" si="153"/>
        <v>8846.7419354838712</v>
      </c>
    </row>
    <row r="373" spans="1:29" x14ac:dyDescent="0.2">
      <c r="A373" s="10" t="s">
        <v>315</v>
      </c>
      <c r="B373" s="11">
        <f t="shared" si="157"/>
        <v>368</v>
      </c>
      <c r="C373" s="11" t="s">
        <v>956</v>
      </c>
      <c r="D373" s="19" t="s">
        <v>50</v>
      </c>
      <c r="E373" s="19" t="s">
        <v>484</v>
      </c>
      <c r="F373" s="20">
        <v>42966</v>
      </c>
      <c r="G373" s="11">
        <v>15</v>
      </c>
      <c r="H373" s="13">
        <f t="shared" si="149"/>
        <v>2419.3548387096771</v>
      </c>
      <c r="I373" s="13">
        <f t="shared" si="154"/>
        <v>0</v>
      </c>
      <c r="J373" s="13">
        <f t="shared" si="155"/>
        <v>120.96774193548386</v>
      </c>
      <c r="L373" s="13">
        <f t="shared" si="158"/>
        <v>387.09677419354836</v>
      </c>
      <c r="N373" s="13">
        <f t="shared" si="166"/>
        <v>2046.7741935483868</v>
      </c>
      <c r="P373" s="13">
        <f t="shared" si="141"/>
        <v>4974.1935483870966</v>
      </c>
      <c r="Q373" s="12">
        <f t="shared" si="150"/>
        <v>290.32258064516122</v>
      </c>
      <c r="R373" s="12">
        <f t="shared" si="147"/>
        <v>88</v>
      </c>
      <c r="S373" s="21">
        <v>0</v>
      </c>
      <c r="T373" s="13">
        <v>0</v>
      </c>
      <c r="U373" s="13">
        <f t="shared" si="159"/>
        <v>378.32258064516122</v>
      </c>
      <c r="V373" s="13">
        <f t="shared" si="151"/>
        <v>4595.8709677419356</v>
      </c>
      <c r="X373" s="13">
        <f t="shared" si="148"/>
        <v>4595.8709677419356</v>
      </c>
      <c r="Y373" s="12">
        <f t="shared" si="156"/>
        <v>318.14516129032256</v>
      </c>
      <c r="Z373" s="12">
        <f t="shared" si="152"/>
        <v>237</v>
      </c>
      <c r="AA373" s="1">
        <f t="shared" si="161"/>
        <v>0</v>
      </c>
      <c r="AB373" s="16">
        <f t="shared" si="160"/>
        <v>555.14516129032256</v>
      </c>
      <c r="AC373" s="16">
        <f t="shared" si="153"/>
        <v>5529.3387096774195</v>
      </c>
    </row>
    <row r="374" spans="1:29" x14ac:dyDescent="0.2">
      <c r="A374" s="10" t="s">
        <v>315</v>
      </c>
      <c r="B374" s="11">
        <f t="shared" si="157"/>
        <v>369</v>
      </c>
      <c r="C374" s="11" t="s">
        <v>973</v>
      </c>
      <c r="D374" s="19" t="s">
        <v>50</v>
      </c>
      <c r="E374" s="19" t="s">
        <v>484</v>
      </c>
      <c r="F374" s="20">
        <v>42967</v>
      </c>
      <c r="G374" s="11">
        <v>12</v>
      </c>
      <c r="H374" s="13">
        <f t="shared" si="149"/>
        <v>1935.483870967742</v>
      </c>
      <c r="I374" s="13">
        <f t="shared" si="154"/>
        <v>0</v>
      </c>
      <c r="J374" s="13">
        <f t="shared" si="155"/>
        <v>96.774193548387103</v>
      </c>
      <c r="L374" s="13">
        <f t="shared" si="158"/>
        <v>309.67741935483866</v>
      </c>
      <c r="N374" s="13">
        <f t="shared" si="166"/>
        <v>1637.4193548387095</v>
      </c>
      <c r="P374" s="13">
        <f t="shared" si="141"/>
        <v>3979.3548387096771</v>
      </c>
      <c r="Q374" s="12">
        <f t="shared" si="150"/>
        <v>232.25806451612902</v>
      </c>
      <c r="R374" s="12">
        <f t="shared" si="147"/>
        <v>70</v>
      </c>
      <c r="S374" s="21">
        <v>0</v>
      </c>
      <c r="T374" s="13">
        <v>0</v>
      </c>
      <c r="U374" s="13">
        <f t="shared" si="159"/>
        <v>302.25806451612902</v>
      </c>
      <c r="V374" s="13">
        <f t="shared" si="151"/>
        <v>3677.0967741935483</v>
      </c>
      <c r="X374" s="13">
        <f t="shared" si="148"/>
        <v>3677.0967741935483</v>
      </c>
      <c r="Y374" s="12">
        <f t="shared" si="156"/>
        <v>254.51612903225808</v>
      </c>
      <c r="Z374" s="12">
        <f t="shared" si="152"/>
        <v>190</v>
      </c>
      <c r="AA374" s="1">
        <f t="shared" si="161"/>
        <v>0</v>
      </c>
      <c r="AB374" s="16">
        <f t="shared" si="160"/>
        <v>444.51612903225805</v>
      </c>
      <c r="AC374" s="16">
        <f t="shared" si="153"/>
        <v>4423.8709677419356</v>
      </c>
    </row>
    <row r="375" spans="1:29" x14ac:dyDescent="0.2">
      <c r="A375" s="10" t="s">
        <v>315</v>
      </c>
      <c r="B375" s="11">
        <f t="shared" si="157"/>
        <v>370</v>
      </c>
      <c r="C375" s="11" t="s">
        <v>974</v>
      </c>
      <c r="D375" s="19" t="s">
        <v>50</v>
      </c>
      <c r="E375" s="19" t="s">
        <v>484</v>
      </c>
      <c r="F375" s="20">
        <v>42967</v>
      </c>
      <c r="G375" s="11">
        <v>12</v>
      </c>
      <c r="H375" s="13">
        <f t="shared" si="149"/>
        <v>1935.483870967742</v>
      </c>
      <c r="I375" s="13">
        <f t="shared" si="154"/>
        <v>0</v>
      </c>
      <c r="J375" s="13">
        <f t="shared" si="155"/>
        <v>96.774193548387103</v>
      </c>
      <c r="L375" s="13">
        <f t="shared" si="158"/>
        <v>309.67741935483866</v>
      </c>
      <c r="N375" s="13">
        <f t="shared" si="166"/>
        <v>1637.4193548387095</v>
      </c>
      <c r="P375" s="13">
        <f t="shared" si="141"/>
        <v>3979.3548387096771</v>
      </c>
      <c r="Q375" s="12">
        <f t="shared" si="150"/>
        <v>232.25806451612902</v>
      </c>
      <c r="R375" s="12">
        <f t="shared" si="147"/>
        <v>70</v>
      </c>
      <c r="S375" s="21">
        <v>0</v>
      </c>
      <c r="T375" s="13">
        <v>0</v>
      </c>
      <c r="U375" s="13">
        <f t="shared" si="159"/>
        <v>302.25806451612902</v>
      </c>
      <c r="V375" s="13">
        <f t="shared" si="151"/>
        <v>3677.0967741935483</v>
      </c>
      <c r="X375" s="13">
        <f t="shared" si="148"/>
        <v>3677.0967741935483</v>
      </c>
      <c r="Y375" s="12">
        <f t="shared" si="156"/>
        <v>254.51612903225808</v>
      </c>
      <c r="Z375" s="12">
        <f t="shared" si="152"/>
        <v>190</v>
      </c>
      <c r="AA375" s="1">
        <f t="shared" si="161"/>
        <v>0</v>
      </c>
      <c r="AB375" s="16">
        <f t="shared" si="160"/>
        <v>444.51612903225805</v>
      </c>
      <c r="AC375" s="16">
        <f t="shared" si="153"/>
        <v>4423.8709677419356</v>
      </c>
    </row>
    <row r="376" spans="1:29" x14ac:dyDescent="0.2">
      <c r="A376" s="10" t="s">
        <v>315</v>
      </c>
      <c r="B376" s="11">
        <f t="shared" si="157"/>
        <v>371</v>
      </c>
      <c r="C376" s="11" t="s">
        <v>975</v>
      </c>
      <c r="D376" s="19" t="s">
        <v>50</v>
      </c>
      <c r="E376" s="19" t="s">
        <v>707</v>
      </c>
      <c r="F376" s="20">
        <v>42969</v>
      </c>
      <c r="G376" s="11">
        <v>11</v>
      </c>
      <c r="H376" s="13">
        <f t="shared" si="149"/>
        <v>1774.1935483870966</v>
      </c>
      <c r="I376" s="13">
        <f t="shared" si="154"/>
        <v>0</v>
      </c>
      <c r="J376" s="13">
        <f t="shared" si="155"/>
        <v>88.709677419354833</v>
      </c>
      <c r="L376" s="13">
        <f t="shared" si="158"/>
        <v>283.87096774193549</v>
      </c>
      <c r="N376" s="13">
        <f t="shared" si="166"/>
        <v>1500.9677419354837</v>
      </c>
      <c r="P376" s="13">
        <f t="shared" si="141"/>
        <v>3647.7419354838703</v>
      </c>
      <c r="Q376" s="12">
        <f t="shared" si="150"/>
        <v>212.90322580645159</v>
      </c>
      <c r="R376" s="12">
        <f t="shared" ref="R376:R392" si="167">ROUNDUP((P376*1.75%),0)</f>
        <v>64</v>
      </c>
      <c r="S376" s="21">
        <v>0</v>
      </c>
      <c r="T376" s="13">
        <v>0</v>
      </c>
      <c r="U376" s="13">
        <f t="shared" si="159"/>
        <v>276.90322580645159</v>
      </c>
      <c r="V376" s="13">
        <f t="shared" si="151"/>
        <v>3370.8387096774186</v>
      </c>
      <c r="X376" s="13">
        <f t="shared" si="148"/>
        <v>3370.8387096774186</v>
      </c>
      <c r="Y376" s="12">
        <f t="shared" si="156"/>
        <v>233.3064516129032</v>
      </c>
      <c r="Z376" s="12">
        <f t="shared" si="152"/>
        <v>174</v>
      </c>
      <c r="AA376" s="1">
        <f t="shared" si="161"/>
        <v>0</v>
      </c>
      <c r="AB376" s="16">
        <f t="shared" si="160"/>
        <v>407.30645161290317</v>
      </c>
      <c r="AC376" s="16">
        <f t="shared" si="153"/>
        <v>4055.0483870967737</v>
      </c>
    </row>
    <row r="377" spans="1:29" x14ac:dyDescent="0.2">
      <c r="A377" s="10" t="s">
        <v>315</v>
      </c>
      <c r="B377" s="11">
        <f t="shared" si="157"/>
        <v>372</v>
      </c>
      <c r="C377" s="11" t="s">
        <v>403</v>
      </c>
      <c r="D377" s="19" t="s">
        <v>50</v>
      </c>
      <c r="E377" s="19" t="s">
        <v>707</v>
      </c>
      <c r="F377" s="20">
        <v>42969</v>
      </c>
      <c r="G377" s="11">
        <v>11</v>
      </c>
      <c r="H377" s="13">
        <f t="shared" si="149"/>
        <v>1774.1935483870966</v>
      </c>
      <c r="I377" s="13">
        <f t="shared" si="154"/>
        <v>0</v>
      </c>
      <c r="J377" s="13">
        <f t="shared" si="155"/>
        <v>88.709677419354833</v>
      </c>
      <c r="L377" s="13">
        <f t="shared" si="158"/>
        <v>283.87096774193549</v>
      </c>
      <c r="N377" s="13">
        <f t="shared" si="166"/>
        <v>1500.9677419354837</v>
      </c>
      <c r="P377" s="13">
        <f t="shared" si="141"/>
        <v>3647.7419354838703</v>
      </c>
      <c r="Q377" s="12">
        <f t="shared" si="150"/>
        <v>212.90322580645159</v>
      </c>
      <c r="R377" s="12">
        <f t="shared" si="167"/>
        <v>64</v>
      </c>
      <c r="S377" s="21">
        <v>0</v>
      </c>
      <c r="T377" s="13">
        <v>0</v>
      </c>
      <c r="U377" s="13">
        <f t="shared" si="159"/>
        <v>276.90322580645159</v>
      </c>
      <c r="V377" s="13">
        <f t="shared" si="151"/>
        <v>3370.8387096774186</v>
      </c>
      <c r="X377" s="13">
        <f t="shared" si="148"/>
        <v>3370.8387096774186</v>
      </c>
      <c r="Y377" s="12">
        <f t="shared" si="156"/>
        <v>233.3064516129032</v>
      </c>
      <c r="Z377" s="12">
        <f t="shared" si="152"/>
        <v>174</v>
      </c>
      <c r="AA377" s="1">
        <f t="shared" si="161"/>
        <v>0</v>
      </c>
      <c r="AB377" s="16">
        <f t="shared" si="160"/>
        <v>407.30645161290317</v>
      </c>
      <c r="AC377" s="16">
        <f t="shared" si="153"/>
        <v>4055.0483870967737</v>
      </c>
    </row>
    <row r="378" spans="1:29" x14ac:dyDescent="0.2">
      <c r="A378" s="10" t="s">
        <v>315</v>
      </c>
      <c r="B378" s="11">
        <f t="shared" si="157"/>
        <v>373</v>
      </c>
      <c r="C378" s="11" t="s">
        <v>976</v>
      </c>
      <c r="D378" s="19" t="s">
        <v>50</v>
      </c>
      <c r="E378" s="19" t="s">
        <v>707</v>
      </c>
      <c r="F378" s="20">
        <v>42966</v>
      </c>
      <c r="G378" s="11">
        <v>14</v>
      </c>
      <c r="H378" s="13">
        <f t="shared" si="149"/>
        <v>2258.0645161290322</v>
      </c>
      <c r="I378" s="13">
        <f t="shared" si="154"/>
        <v>0</v>
      </c>
      <c r="J378" s="13">
        <f t="shared" si="155"/>
        <v>112.90322580645162</v>
      </c>
      <c r="L378" s="13">
        <f t="shared" si="158"/>
        <v>361.29032258064512</v>
      </c>
      <c r="N378" s="13">
        <f t="shared" si="166"/>
        <v>1910.322580645161</v>
      </c>
      <c r="P378" s="13">
        <f t="shared" si="141"/>
        <v>4642.5806451612898</v>
      </c>
      <c r="Q378" s="12">
        <f t="shared" si="150"/>
        <v>270.96774193548384</v>
      </c>
      <c r="R378" s="12">
        <f t="shared" si="167"/>
        <v>82</v>
      </c>
      <c r="S378" s="21">
        <v>0</v>
      </c>
      <c r="T378" s="13">
        <v>0</v>
      </c>
      <c r="U378" s="13">
        <f t="shared" si="159"/>
        <v>352.96774193548384</v>
      </c>
      <c r="V378" s="13">
        <f t="shared" si="151"/>
        <v>4289.6129032258059</v>
      </c>
      <c r="X378" s="13">
        <f t="shared" si="148"/>
        <v>4289.6129032258059</v>
      </c>
      <c r="Y378" s="12">
        <f t="shared" si="156"/>
        <v>296.93548387096774</v>
      </c>
      <c r="Z378" s="12">
        <f t="shared" si="152"/>
        <v>221</v>
      </c>
      <c r="AA378" s="1">
        <f t="shared" si="161"/>
        <v>0</v>
      </c>
      <c r="AB378" s="16">
        <f t="shared" si="160"/>
        <v>517.9354838709678</v>
      </c>
      <c r="AC378" s="16">
        <f t="shared" si="153"/>
        <v>5160.5161290322576</v>
      </c>
    </row>
    <row r="379" spans="1:29" x14ac:dyDescent="0.2">
      <c r="A379" s="10" t="s">
        <v>315</v>
      </c>
      <c r="B379" s="11">
        <f t="shared" si="157"/>
        <v>374</v>
      </c>
      <c r="C379" s="11" t="s">
        <v>977</v>
      </c>
      <c r="D379" s="19" t="s">
        <v>50</v>
      </c>
      <c r="E379" s="19" t="s">
        <v>707</v>
      </c>
      <c r="F379" s="20">
        <v>42968</v>
      </c>
      <c r="G379" s="11">
        <v>6</v>
      </c>
      <c r="H379" s="13">
        <f t="shared" si="149"/>
        <v>967.74193548387098</v>
      </c>
      <c r="I379" s="13">
        <f t="shared" si="154"/>
        <v>0</v>
      </c>
      <c r="J379" s="13">
        <f t="shared" si="155"/>
        <v>48.387096774193552</v>
      </c>
      <c r="L379" s="13">
        <f t="shared" si="158"/>
        <v>154.83870967741933</v>
      </c>
      <c r="N379" s="13">
        <f t="shared" si="166"/>
        <v>818.70967741935476</v>
      </c>
      <c r="P379" s="13">
        <f t="shared" si="141"/>
        <v>1989.6774193548385</v>
      </c>
      <c r="Q379" s="12">
        <f t="shared" si="150"/>
        <v>116.12903225806451</v>
      </c>
      <c r="R379" s="12">
        <f t="shared" si="167"/>
        <v>35</v>
      </c>
      <c r="S379" s="21">
        <v>0</v>
      </c>
      <c r="T379" s="13">
        <v>0</v>
      </c>
      <c r="U379" s="13">
        <f t="shared" si="159"/>
        <v>151.12903225806451</v>
      </c>
      <c r="V379" s="13">
        <f t="shared" si="151"/>
        <v>1838.5483870967741</v>
      </c>
      <c r="X379" s="13">
        <f t="shared" si="148"/>
        <v>1838.5483870967741</v>
      </c>
      <c r="Y379" s="12">
        <f t="shared" si="156"/>
        <v>127.25806451612904</v>
      </c>
      <c r="Z379" s="12">
        <f t="shared" si="152"/>
        <v>95</v>
      </c>
      <c r="AA379" s="1">
        <f t="shared" si="161"/>
        <v>0</v>
      </c>
      <c r="AB379" s="16">
        <f t="shared" si="160"/>
        <v>222.25806451612902</v>
      </c>
      <c r="AC379" s="16">
        <f t="shared" si="153"/>
        <v>2211.9354838709678</v>
      </c>
    </row>
    <row r="380" spans="1:29" x14ac:dyDescent="0.2">
      <c r="A380" s="10" t="s">
        <v>315</v>
      </c>
      <c r="B380" s="11">
        <f t="shared" si="157"/>
        <v>375</v>
      </c>
      <c r="C380" s="11" t="s">
        <v>978</v>
      </c>
      <c r="D380" s="19" t="s">
        <v>50</v>
      </c>
      <c r="E380" s="19" t="s">
        <v>707</v>
      </c>
      <c r="F380" s="20">
        <v>42973</v>
      </c>
      <c r="G380" s="11">
        <v>7</v>
      </c>
      <c r="H380" s="13">
        <f t="shared" si="149"/>
        <v>1129.0322580645161</v>
      </c>
      <c r="I380" s="13">
        <f t="shared" si="154"/>
        <v>0</v>
      </c>
      <c r="J380" s="13">
        <f t="shared" si="155"/>
        <v>56.451612903225808</v>
      </c>
      <c r="L380" s="13">
        <f t="shared" si="158"/>
        <v>180.64516129032256</v>
      </c>
      <c r="N380" s="13">
        <f t="shared" si="166"/>
        <v>955.1612903225805</v>
      </c>
      <c r="P380" s="13">
        <f t="shared" si="141"/>
        <v>2321.2903225806449</v>
      </c>
      <c r="Q380" s="12">
        <f t="shared" si="150"/>
        <v>135.48387096774192</v>
      </c>
      <c r="R380" s="12">
        <f t="shared" si="167"/>
        <v>41</v>
      </c>
      <c r="S380" s="21">
        <v>0</v>
      </c>
      <c r="T380" s="13">
        <v>0</v>
      </c>
      <c r="U380" s="13">
        <f t="shared" si="159"/>
        <v>176.48387096774192</v>
      </c>
      <c r="V380" s="13">
        <f t="shared" si="151"/>
        <v>2144.8064516129029</v>
      </c>
      <c r="X380" s="13">
        <f t="shared" si="148"/>
        <v>2144.8064516129029</v>
      </c>
      <c r="Y380" s="12">
        <f t="shared" si="156"/>
        <v>148.46774193548387</v>
      </c>
      <c r="Z380" s="12">
        <f t="shared" si="152"/>
        <v>111</v>
      </c>
      <c r="AA380" s="1">
        <f t="shared" si="161"/>
        <v>0</v>
      </c>
      <c r="AB380" s="16">
        <f t="shared" si="160"/>
        <v>259.4677419354839</v>
      </c>
      <c r="AC380" s="16">
        <f t="shared" si="153"/>
        <v>2580.7580645161288</v>
      </c>
    </row>
    <row r="381" spans="1:29" x14ac:dyDescent="0.2">
      <c r="A381" s="10" t="s">
        <v>315</v>
      </c>
      <c r="B381" s="11">
        <f t="shared" si="157"/>
        <v>376</v>
      </c>
      <c r="C381" s="11" t="s">
        <v>757</v>
      </c>
      <c r="D381" s="19" t="s">
        <v>50</v>
      </c>
      <c r="E381" s="19" t="s">
        <v>238</v>
      </c>
      <c r="F381" s="20">
        <v>42948</v>
      </c>
      <c r="G381" s="11">
        <v>35</v>
      </c>
      <c r="H381" s="13">
        <f t="shared" si="149"/>
        <v>5645.1612903225805</v>
      </c>
      <c r="I381" s="13">
        <f t="shared" si="154"/>
        <v>0</v>
      </c>
      <c r="J381" s="13">
        <f t="shared" si="155"/>
        <v>282.25806451612902</v>
      </c>
      <c r="L381" s="13">
        <f t="shared" si="158"/>
        <v>903.22580645161281</v>
      </c>
      <c r="N381" s="13">
        <f t="shared" si="164"/>
        <v>5925.1612903225805</v>
      </c>
      <c r="P381" s="13">
        <f t="shared" si="141"/>
        <v>12755.806451612902</v>
      </c>
      <c r="Q381" s="12">
        <f t="shared" si="150"/>
        <v>677.41935483870964</v>
      </c>
      <c r="R381" s="12">
        <f t="shared" si="167"/>
        <v>224</v>
      </c>
      <c r="S381" s="21">
        <v>0</v>
      </c>
      <c r="T381" s="13">
        <v>0</v>
      </c>
      <c r="U381" s="13">
        <f t="shared" si="159"/>
        <v>901.41935483870964</v>
      </c>
      <c r="V381" s="13">
        <f t="shared" si="151"/>
        <v>11854.387096774191</v>
      </c>
      <c r="X381" s="13">
        <f t="shared" si="148"/>
        <v>11854.387096774191</v>
      </c>
      <c r="Y381" s="12">
        <f t="shared" si="156"/>
        <v>742.33870967741939</v>
      </c>
      <c r="Z381" s="12">
        <f t="shared" si="152"/>
        <v>606</v>
      </c>
      <c r="AA381" s="1">
        <f t="shared" si="161"/>
        <v>0</v>
      </c>
      <c r="AB381" s="16">
        <f t="shared" si="160"/>
        <v>1348.3387096774195</v>
      </c>
      <c r="AC381" s="16">
        <f t="shared" si="153"/>
        <v>14104.145161290322</v>
      </c>
    </row>
    <row r="382" spans="1:29" x14ac:dyDescent="0.2">
      <c r="A382" s="10" t="s">
        <v>315</v>
      </c>
      <c r="B382" s="11">
        <f t="shared" si="157"/>
        <v>377</v>
      </c>
      <c r="C382" s="11" t="s">
        <v>969</v>
      </c>
      <c r="D382" s="19" t="s">
        <v>50</v>
      </c>
      <c r="E382" s="19" t="s">
        <v>238</v>
      </c>
      <c r="F382" s="20">
        <v>42948</v>
      </c>
      <c r="G382" s="11">
        <v>37</v>
      </c>
      <c r="H382" s="13">
        <f t="shared" si="149"/>
        <v>5967.7419354838703</v>
      </c>
      <c r="I382" s="13">
        <f t="shared" si="154"/>
        <v>0</v>
      </c>
      <c r="J382" s="13">
        <f t="shared" si="155"/>
        <v>298.38709677419354</v>
      </c>
      <c r="L382" s="13">
        <f t="shared" si="158"/>
        <v>954.83870967741927</v>
      </c>
      <c r="N382" s="13">
        <f t="shared" si="164"/>
        <v>6263.7419354838703</v>
      </c>
      <c r="P382" s="13">
        <f t="shared" si="141"/>
        <v>13484.709677419352</v>
      </c>
      <c r="Q382" s="12">
        <f t="shared" si="150"/>
        <v>716.1290322580644</v>
      </c>
      <c r="R382" s="12">
        <f t="shared" si="167"/>
        <v>236</v>
      </c>
      <c r="S382" s="21">
        <v>0</v>
      </c>
      <c r="T382" s="13">
        <v>0</v>
      </c>
      <c r="U382" s="13">
        <f t="shared" si="159"/>
        <v>952.1290322580644</v>
      </c>
      <c r="V382" s="13">
        <f t="shared" si="151"/>
        <v>12532.580645161288</v>
      </c>
      <c r="X382" s="13">
        <f t="shared" si="148"/>
        <v>12532.580645161288</v>
      </c>
      <c r="Y382" s="12">
        <f t="shared" si="156"/>
        <v>784.75806451612902</v>
      </c>
      <c r="Z382" s="12">
        <f t="shared" si="152"/>
        <v>641</v>
      </c>
      <c r="AA382" s="1">
        <f t="shared" si="161"/>
        <v>0</v>
      </c>
      <c r="AB382" s="16">
        <f t="shared" si="160"/>
        <v>1425.758064516129</v>
      </c>
      <c r="AC382" s="16">
        <f t="shared" si="153"/>
        <v>14910.467741935481</v>
      </c>
    </row>
    <row r="383" spans="1:29" x14ac:dyDescent="0.2">
      <c r="A383" s="10" t="s">
        <v>315</v>
      </c>
      <c r="B383" s="11">
        <f t="shared" si="157"/>
        <v>378</v>
      </c>
      <c r="C383" s="11" t="s">
        <v>979</v>
      </c>
      <c r="D383" s="19" t="s">
        <v>50</v>
      </c>
      <c r="E383" s="19" t="s">
        <v>238</v>
      </c>
      <c r="F383" s="20">
        <v>42948</v>
      </c>
      <c r="G383" s="11">
        <v>30</v>
      </c>
      <c r="H383" s="13">
        <f t="shared" si="149"/>
        <v>4838.7096774193542</v>
      </c>
      <c r="I383" s="13">
        <f t="shared" si="154"/>
        <v>0</v>
      </c>
      <c r="J383" s="13">
        <f t="shared" si="155"/>
        <v>241.93548387096772</v>
      </c>
      <c r="L383" s="13">
        <f t="shared" si="158"/>
        <v>774.19354838709671</v>
      </c>
      <c r="N383" s="13">
        <f t="shared" si="164"/>
        <v>5078.7096774193542</v>
      </c>
      <c r="P383" s="13">
        <f t="shared" si="141"/>
        <v>10933.548387096773</v>
      </c>
      <c r="Q383" s="12">
        <f t="shared" si="150"/>
        <v>580.64516129032245</v>
      </c>
      <c r="R383" s="12">
        <f t="shared" si="167"/>
        <v>192</v>
      </c>
      <c r="S383" s="21">
        <v>0</v>
      </c>
      <c r="T383" s="13">
        <v>0</v>
      </c>
      <c r="U383" s="13">
        <f t="shared" si="159"/>
        <v>772.64516129032245</v>
      </c>
      <c r="V383" s="13">
        <f t="shared" si="151"/>
        <v>10160.903225806451</v>
      </c>
      <c r="X383" s="13">
        <f t="shared" si="148"/>
        <v>10160.903225806451</v>
      </c>
      <c r="Y383" s="12">
        <f t="shared" si="156"/>
        <v>636.29032258064512</v>
      </c>
      <c r="Z383" s="12">
        <f t="shared" si="152"/>
        <v>520</v>
      </c>
      <c r="AA383" s="1">
        <f t="shared" si="161"/>
        <v>0</v>
      </c>
      <c r="AB383" s="16">
        <f t="shared" si="160"/>
        <v>1156.2903225806451</v>
      </c>
      <c r="AC383" s="16">
        <f t="shared" si="153"/>
        <v>12089.838709677419</v>
      </c>
    </row>
    <row r="384" spans="1:29" x14ac:dyDescent="0.2">
      <c r="A384" s="10" t="s">
        <v>315</v>
      </c>
      <c r="B384" s="11">
        <f t="shared" si="157"/>
        <v>379</v>
      </c>
      <c r="C384" s="11" t="s">
        <v>980</v>
      </c>
      <c r="D384" s="19" t="s">
        <v>50</v>
      </c>
      <c r="E384" s="19" t="s">
        <v>708</v>
      </c>
      <c r="F384" s="20">
        <v>42957</v>
      </c>
      <c r="G384" s="11">
        <v>24</v>
      </c>
      <c r="H384" s="13">
        <f t="shared" si="149"/>
        <v>3870.9677419354839</v>
      </c>
      <c r="I384" s="13">
        <f t="shared" si="154"/>
        <v>0</v>
      </c>
      <c r="J384" s="13">
        <f t="shared" si="155"/>
        <v>193.54838709677421</v>
      </c>
      <c r="L384" s="13">
        <f t="shared" si="158"/>
        <v>619.35483870967732</v>
      </c>
      <c r="N384" s="13">
        <f t="shared" ref="N384:N389" si="168">((4230)/G$3)*G384</f>
        <v>3274.838709677419</v>
      </c>
      <c r="P384" s="13">
        <f t="shared" si="141"/>
        <v>7958.7096774193542</v>
      </c>
      <c r="Q384" s="12">
        <f t="shared" si="150"/>
        <v>464.51612903225805</v>
      </c>
      <c r="R384" s="12">
        <f t="shared" si="167"/>
        <v>140</v>
      </c>
      <c r="S384" s="21">
        <v>0</v>
      </c>
      <c r="T384" s="13">
        <v>0</v>
      </c>
      <c r="U384" s="13">
        <f t="shared" si="159"/>
        <v>604.51612903225805</v>
      </c>
      <c r="V384" s="13">
        <f t="shared" si="151"/>
        <v>7354.1935483870966</v>
      </c>
      <c r="X384" s="13">
        <f t="shared" si="148"/>
        <v>7354.1935483870966</v>
      </c>
      <c r="Y384" s="12">
        <f t="shared" si="156"/>
        <v>509.03225806451616</v>
      </c>
      <c r="Z384" s="12">
        <f t="shared" si="152"/>
        <v>379</v>
      </c>
      <c r="AA384" s="1">
        <f t="shared" si="161"/>
        <v>0</v>
      </c>
      <c r="AB384" s="16">
        <f t="shared" si="160"/>
        <v>888.0322580645161</v>
      </c>
      <c r="AC384" s="16">
        <f t="shared" si="153"/>
        <v>8846.7419354838712</v>
      </c>
    </row>
    <row r="385" spans="1:29" x14ac:dyDescent="0.2">
      <c r="A385" s="10" t="s">
        <v>315</v>
      </c>
      <c r="B385" s="11">
        <f t="shared" si="157"/>
        <v>380</v>
      </c>
      <c r="C385" s="11" t="s">
        <v>981</v>
      </c>
      <c r="D385" s="19" t="s">
        <v>50</v>
      </c>
      <c r="E385" s="19" t="s">
        <v>239</v>
      </c>
      <c r="F385" s="20">
        <v>42957</v>
      </c>
      <c r="G385" s="11">
        <v>25</v>
      </c>
      <c r="H385" s="13">
        <f t="shared" si="149"/>
        <v>4032.2580645161288</v>
      </c>
      <c r="I385" s="13">
        <f t="shared" si="154"/>
        <v>0</v>
      </c>
      <c r="J385" s="13">
        <f t="shared" si="155"/>
        <v>201.61290322580646</v>
      </c>
      <c r="L385" s="13">
        <f t="shared" si="158"/>
        <v>645.16129032258061</v>
      </c>
      <c r="N385" s="13">
        <f t="shared" si="168"/>
        <v>3411.2903225806449</v>
      </c>
      <c r="P385" s="13">
        <f t="shared" si="141"/>
        <v>8290.322580645161</v>
      </c>
      <c r="Q385" s="12">
        <f t="shared" si="150"/>
        <v>483.87096774193543</v>
      </c>
      <c r="R385" s="12">
        <f t="shared" si="167"/>
        <v>146</v>
      </c>
      <c r="S385" s="21">
        <v>0</v>
      </c>
      <c r="T385" s="13">
        <v>0</v>
      </c>
      <c r="U385" s="13">
        <f t="shared" si="159"/>
        <v>629.87096774193537</v>
      </c>
      <c r="V385" s="13">
        <f t="shared" si="151"/>
        <v>7660.4516129032254</v>
      </c>
      <c r="X385" s="13">
        <f t="shared" si="148"/>
        <v>7660.4516129032254</v>
      </c>
      <c r="Y385" s="12">
        <f t="shared" si="156"/>
        <v>530.24193548387098</v>
      </c>
      <c r="Z385" s="12">
        <f t="shared" si="152"/>
        <v>394</v>
      </c>
      <c r="AA385" s="1">
        <f t="shared" si="161"/>
        <v>0</v>
      </c>
      <c r="AB385" s="16">
        <f t="shared" si="160"/>
        <v>924.24193548387098</v>
      </c>
      <c r="AC385" s="16">
        <f t="shared" si="153"/>
        <v>9214.5645161290322</v>
      </c>
    </row>
    <row r="386" spans="1:29" x14ac:dyDescent="0.2">
      <c r="A386" s="10" t="s">
        <v>315</v>
      </c>
      <c r="B386" s="11">
        <f t="shared" si="157"/>
        <v>381</v>
      </c>
      <c r="C386" s="11" t="s">
        <v>982</v>
      </c>
      <c r="D386" s="19" t="s">
        <v>50</v>
      </c>
      <c r="E386" s="19" t="s">
        <v>239</v>
      </c>
      <c r="F386" s="20">
        <v>42948</v>
      </c>
      <c r="G386" s="11">
        <v>36</v>
      </c>
      <c r="H386" s="13">
        <f t="shared" si="149"/>
        <v>5806.4516129032254</v>
      </c>
      <c r="I386" s="13">
        <f t="shared" si="154"/>
        <v>0</v>
      </c>
      <c r="J386" s="13">
        <f t="shared" si="155"/>
        <v>290.32258064516128</v>
      </c>
      <c r="L386" s="13">
        <f t="shared" si="158"/>
        <v>929.0322580645161</v>
      </c>
      <c r="N386" s="13">
        <f t="shared" si="168"/>
        <v>4912.2580645161288</v>
      </c>
      <c r="P386" s="13">
        <f t="shared" si="141"/>
        <v>11938.06451612903</v>
      </c>
      <c r="Q386" s="12">
        <f t="shared" si="150"/>
        <v>696.77419354838707</v>
      </c>
      <c r="R386" s="12">
        <f t="shared" si="167"/>
        <v>209</v>
      </c>
      <c r="S386" s="21">
        <v>0</v>
      </c>
      <c r="T386" s="13">
        <v>0</v>
      </c>
      <c r="U386" s="13">
        <f t="shared" si="159"/>
        <v>905.77419354838707</v>
      </c>
      <c r="V386" s="13">
        <f t="shared" si="151"/>
        <v>11032.290322580644</v>
      </c>
      <c r="X386" s="13">
        <f t="shared" si="148"/>
        <v>11032.290322580644</v>
      </c>
      <c r="Y386" s="12">
        <f t="shared" si="156"/>
        <v>763.54838709677415</v>
      </c>
      <c r="Z386" s="12">
        <f t="shared" si="152"/>
        <v>568</v>
      </c>
      <c r="AA386" s="1">
        <f t="shared" si="161"/>
        <v>0</v>
      </c>
      <c r="AB386" s="16">
        <f t="shared" si="160"/>
        <v>1331.5483870967741</v>
      </c>
      <c r="AC386" s="16">
        <f t="shared" si="153"/>
        <v>13269.612903225805</v>
      </c>
    </row>
    <row r="387" spans="1:29" x14ac:dyDescent="0.2">
      <c r="A387" s="10" t="s">
        <v>315</v>
      </c>
      <c r="B387" s="11">
        <f t="shared" si="157"/>
        <v>382</v>
      </c>
      <c r="C387" s="11" t="s">
        <v>983</v>
      </c>
      <c r="D387" s="19" t="s">
        <v>50</v>
      </c>
      <c r="E387" s="19" t="s">
        <v>708</v>
      </c>
      <c r="F387" s="20">
        <v>42948</v>
      </c>
      <c r="G387" s="11">
        <v>37</v>
      </c>
      <c r="H387" s="13">
        <f t="shared" si="149"/>
        <v>5967.7419354838703</v>
      </c>
      <c r="I387" s="13">
        <f t="shared" si="154"/>
        <v>0</v>
      </c>
      <c r="J387" s="13">
        <f t="shared" si="155"/>
        <v>298.38709677419354</v>
      </c>
      <c r="L387" s="13">
        <f t="shared" si="158"/>
        <v>954.83870967741927</v>
      </c>
      <c r="N387" s="13">
        <f t="shared" si="168"/>
        <v>5048.7096774193542</v>
      </c>
      <c r="P387" s="13">
        <f t="shared" si="141"/>
        <v>12269.677419354837</v>
      </c>
      <c r="Q387" s="12">
        <f t="shared" si="150"/>
        <v>716.1290322580644</v>
      </c>
      <c r="R387" s="12">
        <f t="shared" si="167"/>
        <v>215</v>
      </c>
      <c r="S387" s="21">
        <v>0</v>
      </c>
      <c r="T387" s="13">
        <v>0</v>
      </c>
      <c r="U387" s="13">
        <f t="shared" si="159"/>
        <v>931.1290322580644</v>
      </c>
      <c r="V387" s="13">
        <f t="shared" si="151"/>
        <v>11338.548387096773</v>
      </c>
      <c r="X387" s="13">
        <f t="shared" ref="X387:X392" si="169">V387-W387</f>
        <v>11338.548387096773</v>
      </c>
      <c r="Y387" s="12">
        <f t="shared" si="156"/>
        <v>784.75806451612902</v>
      </c>
      <c r="Z387" s="12">
        <f t="shared" si="152"/>
        <v>583</v>
      </c>
      <c r="AA387" s="1">
        <f t="shared" si="161"/>
        <v>0</v>
      </c>
      <c r="AB387" s="16">
        <f t="shared" si="160"/>
        <v>1367.758064516129</v>
      </c>
      <c r="AC387" s="16">
        <f t="shared" si="153"/>
        <v>13637.435483870966</v>
      </c>
    </row>
    <row r="388" spans="1:29" x14ac:dyDescent="0.2">
      <c r="A388" s="10" t="s">
        <v>315</v>
      </c>
      <c r="B388" s="11">
        <f t="shared" si="157"/>
        <v>383</v>
      </c>
      <c r="C388" s="11" t="s">
        <v>984</v>
      </c>
      <c r="D388" s="19" t="s">
        <v>50</v>
      </c>
      <c r="E388" s="19" t="s">
        <v>242</v>
      </c>
      <c r="F388" s="20">
        <v>42960</v>
      </c>
      <c r="G388" s="11">
        <v>23</v>
      </c>
      <c r="H388" s="13">
        <f t="shared" si="149"/>
        <v>3709.6774193548385</v>
      </c>
      <c r="I388" s="13">
        <f t="shared" si="154"/>
        <v>0</v>
      </c>
      <c r="J388" s="13">
        <f t="shared" si="155"/>
        <v>185.48387096774195</v>
      </c>
      <c r="L388" s="13">
        <f t="shared" si="158"/>
        <v>593.54838709677415</v>
      </c>
      <c r="N388" s="13">
        <f t="shared" si="168"/>
        <v>3138.3870967741932</v>
      </c>
      <c r="P388" s="13">
        <f t="shared" si="141"/>
        <v>7627.0967741935474</v>
      </c>
      <c r="Q388" s="12">
        <f t="shared" si="150"/>
        <v>445.16129032258061</v>
      </c>
      <c r="R388" s="12">
        <f t="shared" si="167"/>
        <v>134</v>
      </c>
      <c r="S388" s="21">
        <v>0</v>
      </c>
      <c r="T388" s="13">
        <v>0</v>
      </c>
      <c r="U388" s="13">
        <f t="shared" si="159"/>
        <v>579.16129032258061</v>
      </c>
      <c r="V388" s="13">
        <f t="shared" si="151"/>
        <v>7047.9354838709669</v>
      </c>
      <c r="X388" s="13">
        <f t="shared" si="169"/>
        <v>7047.9354838709669</v>
      </c>
      <c r="Y388" s="12">
        <f t="shared" si="156"/>
        <v>487.82258064516128</v>
      </c>
      <c r="Z388" s="12">
        <f t="shared" si="152"/>
        <v>363</v>
      </c>
      <c r="AA388" s="1">
        <f t="shared" si="161"/>
        <v>0</v>
      </c>
      <c r="AB388" s="16">
        <f t="shared" si="160"/>
        <v>850.82258064516122</v>
      </c>
      <c r="AC388" s="16">
        <f t="shared" si="153"/>
        <v>8477.9193548387084</v>
      </c>
    </row>
    <row r="389" spans="1:29" x14ac:dyDescent="0.2">
      <c r="A389" s="10" t="s">
        <v>315</v>
      </c>
      <c r="B389" s="11">
        <f t="shared" si="157"/>
        <v>384</v>
      </c>
      <c r="C389" s="11" t="s">
        <v>985</v>
      </c>
      <c r="D389" s="19" t="s">
        <v>50</v>
      </c>
      <c r="E389" s="19" t="s">
        <v>242</v>
      </c>
      <c r="F389" s="20">
        <v>42957</v>
      </c>
      <c r="G389" s="11">
        <v>23</v>
      </c>
      <c r="H389" s="13">
        <f t="shared" si="149"/>
        <v>3709.6774193548385</v>
      </c>
      <c r="I389" s="13">
        <f t="shared" si="154"/>
        <v>0</v>
      </c>
      <c r="J389" s="13">
        <f t="shared" si="155"/>
        <v>185.48387096774195</v>
      </c>
      <c r="L389" s="13">
        <f t="shared" si="158"/>
        <v>593.54838709677415</v>
      </c>
      <c r="N389" s="13">
        <f t="shared" si="168"/>
        <v>3138.3870967741932</v>
      </c>
      <c r="P389" s="13">
        <f t="shared" si="141"/>
        <v>7627.0967741935474</v>
      </c>
      <c r="Q389" s="12">
        <f t="shared" si="150"/>
        <v>445.16129032258061</v>
      </c>
      <c r="R389" s="12">
        <f t="shared" si="167"/>
        <v>134</v>
      </c>
      <c r="S389" s="21">
        <v>0</v>
      </c>
      <c r="T389" s="13">
        <v>0</v>
      </c>
      <c r="U389" s="13">
        <f t="shared" si="159"/>
        <v>579.16129032258061</v>
      </c>
      <c r="V389" s="13">
        <f t="shared" si="151"/>
        <v>7047.9354838709669</v>
      </c>
      <c r="X389" s="13">
        <f t="shared" si="169"/>
        <v>7047.9354838709669</v>
      </c>
      <c r="Y389" s="12">
        <f t="shared" si="156"/>
        <v>487.82258064516128</v>
      </c>
      <c r="Z389" s="12">
        <f t="shared" si="152"/>
        <v>363</v>
      </c>
      <c r="AA389" s="1">
        <f t="shared" si="161"/>
        <v>0</v>
      </c>
      <c r="AB389" s="16">
        <f t="shared" si="160"/>
        <v>850.82258064516122</v>
      </c>
      <c r="AC389" s="16">
        <f t="shared" si="153"/>
        <v>8477.9193548387084</v>
      </c>
    </row>
    <row r="390" spans="1:29" x14ac:dyDescent="0.2">
      <c r="A390" s="10" t="s">
        <v>315</v>
      </c>
      <c r="B390" s="11">
        <f t="shared" si="157"/>
        <v>385</v>
      </c>
      <c r="C390" s="11" t="s">
        <v>986</v>
      </c>
      <c r="D390" s="19" t="s">
        <v>50</v>
      </c>
      <c r="E390" s="19" t="s">
        <v>237</v>
      </c>
      <c r="F390" s="20">
        <v>42956</v>
      </c>
      <c r="G390" s="11">
        <v>27</v>
      </c>
      <c r="H390" s="13">
        <f t="shared" ref="H390:H453" si="170">(5000/G$3)*G390</f>
        <v>4354.8387096774195</v>
      </c>
      <c r="I390" s="13">
        <f t="shared" si="154"/>
        <v>0</v>
      </c>
      <c r="J390" s="13">
        <f t="shared" si="155"/>
        <v>217.74193548387098</v>
      </c>
      <c r="L390" s="13">
        <f t="shared" si="158"/>
        <v>696.77419354838707</v>
      </c>
      <c r="N390" s="13">
        <f t="shared" si="164"/>
        <v>4570.8387096774195</v>
      </c>
      <c r="P390" s="13">
        <f t="shared" si="141"/>
        <v>9840.1935483870984</v>
      </c>
      <c r="Q390" s="12">
        <f t="shared" ref="Q390:Q453" si="171">(H390+I390)*12%</f>
        <v>522.58064516129036</v>
      </c>
      <c r="R390" s="12">
        <f t="shared" si="167"/>
        <v>173</v>
      </c>
      <c r="S390" s="21">
        <v>0</v>
      </c>
      <c r="T390" s="13">
        <v>0</v>
      </c>
      <c r="U390" s="13">
        <f t="shared" si="159"/>
        <v>695.58064516129036</v>
      </c>
      <c r="V390" s="13">
        <f t="shared" ref="V390:V392" si="172">P390-U390</f>
        <v>9144.6129032258086</v>
      </c>
      <c r="X390" s="13">
        <f t="shared" si="169"/>
        <v>9144.6129032258086</v>
      </c>
      <c r="Y390" s="12">
        <f t="shared" si="156"/>
        <v>572.66129032258073</v>
      </c>
      <c r="Z390" s="12">
        <f t="shared" ref="Z390:Z453" si="173">CEILING((P390)*4.75%,1)</f>
        <v>468</v>
      </c>
      <c r="AA390" s="1">
        <f t="shared" si="161"/>
        <v>0</v>
      </c>
      <c r="AB390" s="16">
        <f t="shared" si="160"/>
        <v>1040.6612903225807</v>
      </c>
      <c r="AC390" s="16">
        <f t="shared" ref="AC390:AC392" si="174">P390+AB390</f>
        <v>10880.85483870968</v>
      </c>
    </row>
    <row r="391" spans="1:29" x14ac:dyDescent="0.2">
      <c r="A391" s="10" t="s">
        <v>315</v>
      </c>
      <c r="B391" s="11">
        <f t="shared" si="157"/>
        <v>386</v>
      </c>
      <c r="C391" s="11" t="s">
        <v>987</v>
      </c>
      <c r="D391" s="19" t="s">
        <v>50</v>
      </c>
      <c r="E391" s="19" t="s">
        <v>237</v>
      </c>
      <c r="F391" s="20">
        <v>42960</v>
      </c>
      <c r="G391" s="11">
        <v>19</v>
      </c>
      <c r="H391" s="13">
        <f t="shared" si="170"/>
        <v>3064.516129032258</v>
      </c>
      <c r="I391" s="13">
        <f t="shared" ref="I391:I454" si="175">((0)/G$3)*G391</f>
        <v>0</v>
      </c>
      <c r="J391" s="13">
        <f t="shared" ref="J391:J411" si="176">(H391+I391)*5%</f>
        <v>153.2258064516129</v>
      </c>
      <c r="L391" s="13">
        <f t="shared" si="158"/>
        <v>490.32258064516128</v>
      </c>
      <c r="N391" s="13">
        <f t="shared" si="164"/>
        <v>3216.516129032258</v>
      </c>
      <c r="P391" s="13">
        <f t="shared" si="141"/>
        <v>6924.5806451612898</v>
      </c>
      <c r="Q391" s="12">
        <f t="shared" si="171"/>
        <v>367.74193548387098</v>
      </c>
      <c r="R391" s="12">
        <f t="shared" si="167"/>
        <v>122</v>
      </c>
      <c r="S391" s="21">
        <v>0</v>
      </c>
      <c r="T391" s="13">
        <v>0</v>
      </c>
      <c r="U391" s="13">
        <f t="shared" si="159"/>
        <v>489.74193548387098</v>
      </c>
      <c r="V391" s="13">
        <f t="shared" si="172"/>
        <v>6434.8387096774186</v>
      </c>
      <c r="X391" s="13">
        <f t="shared" si="169"/>
        <v>6434.8387096774186</v>
      </c>
      <c r="Y391" s="12">
        <f t="shared" ref="Y391:Y454" si="177">(H391+I391)*13.15%</f>
        <v>402.98387096774195</v>
      </c>
      <c r="Z391" s="12">
        <f t="shared" si="173"/>
        <v>329</v>
      </c>
      <c r="AA391" s="1">
        <f t="shared" si="161"/>
        <v>0</v>
      </c>
      <c r="AB391" s="16">
        <f t="shared" si="160"/>
        <v>731.98387096774195</v>
      </c>
      <c r="AC391" s="16">
        <f t="shared" si="174"/>
        <v>7656.5645161290322</v>
      </c>
    </row>
    <row r="392" spans="1:29" x14ac:dyDescent="0.2">
      <c r="A392" s="10" t="s">
        <v>315</v>
      </c>
      <c r="B392" s="11">
        <f t="shared" ref="B392:B455" si="178">B391+1</f>
        <v>387</v>
      </c>
      <c r="C392" s="11" t="s">
        <v>988</v>
      </c>
      <c r="D392" s="19" t="s">
        <v>50</v>
      </c>
      <c r="E392" s="19" t="s">
        <v>241</v>
      </c>
      <c r="F392" s="20">
        <v>42942</v>
      </c>
      <c r="G392" s="11">
        <v>36</v>
      </c>
      <c r="H392" s="13">
        <f t="shared" si="170"/>
        <v>5806.4516129032254</v>
      </c>
      <c r="I392" s="13">
        <f t="shared" si="175"/>
        <v>0</v>
      </c>
      <c r="J392" s="13">
        <f t="shared" si="176"/>
        <v>290.32258064516128</v>
      </c>
      <c r="L392" s="13">
        <f t="shared" si="158"/>
        <v>929.0322580645161</v>
      </c>
      <c r="N392" s="13">
        <f t="shared" ref="N392" si="179">((4230)/G$3)*G392</f>
        <v>4912.2580645161288</v>
      </c>
      <c r="P392" s="13">
        <f t="shared" si="141"/>
        <v>11938.06451612903</v>
      </c>
      <c r="Q392" s="12">
        <f t="shared" si="171"/>
        <v>696.77419354838707</v>
      </c>
      <c r="R392" s="12">
        <f t="shared" si="167"/>
        <v>209</v>
      </c>
      <c r="S392" s="21">
        <v>0</v>
      </c>
      <c r="T392" s="13">
        <v>0</v>
      </c>
      <c r="U392" s="13">
        <f t="shared" si="159"/>
        <v>905.77419354838707</v>
      </c>
      <c r="V392" s="13">
        <f t="shared" si="172"/>
        <v>11032.290322580644</v>
      </c>
      <c r="X392" s="13">
        <f t="shared" si="169"/>
        <v>11032.290322580644</v>
      </c>
      <c r="Y392" s="12">
        <f t="shared" si="177"/>
        <v>763.54838709677415</v>
      </c>
      <c r="Z392" s="12">
        <f t="shared" si="173"/>
        <v>568</v>
      </c>
      <c r="AA392" s="1">
        <f t="shared" si="161"/>
        <v>0</v>
      </c>
      <c r="AB392" s="16">
        <f t="shared" si="160"/>
        <v>1331.5483870967741</v>
      </c>
      <c r="AC392" s="16">
        <f t="shared" si="174"/>
        <v>13269.612903225805</v>
      </c>
    </row>
    <row r="393" spans="1:29" x14ac:dyDescent="0.2">
      <c r="A393" s="10" t="s">
        <v>58</v>
      </c>
      <c r="B393" s="11">
        <f t="shared" si="178"/>
        <v>388</v>
      </c>
      <c r="C393" s="17" t="s">
        <v>48</v>
      </c>
      <c r="D393" s="11" t="s">
        <v>52</v>
      </c>
      <c r="F393" s="22">
        <v>42356</v>
      </c>
      <c r="G393" s="11">
        <v>30</v>
      </c>
      <c r="H393" s="13">
        <f t="shared" si="170"/>
        <v>4838.7096774193542</v>
      </c>
      <c r="I393" s="13">
        <f t="shared" si="175"/>
        <v>0</v>
      </c>
      <c r="J393" s="13">
        <f t="shared" si="176"/>
        <v>241.93548387096772</v>
      </c>
      <c r="L393" s="13">
        <f t="shared" ref="L393:L456" si="180">((800)/G$3)*G393</f>
        <v>774.19354838709671</v>
      </c>
      <c r="N393" s="13">
        <f>((1950+2484+1737)/G$3)*G393</f>
        <v>5971.9354838709678</v>
      </c>
      <c r="O393" s="13">
        <v>11875</v>
      </c>
      <c r="P393" s="13">
        <f t="shared" si="141"/>
        <v>23701.774193548386</v>
      </c>
      <c r="Q393" s="12">
        <f t="shared" si="171"/>
        <v>580.64516129032245</v>
      </c>
      <c r="R393" s="12">
        <f>ROUNDUP(((P393-O393)*1.75%),0)</f>
        <v>207</v>
      </c>
      <c r="S393" s="21">
        <f t="shared" ref="S393:S456" si="181">+IF(P393&lt;2501,0,IF((P393&gt;2501)*(P393&lt;3500),0,IF((P393&gt;3501)*(P393&lt;7500),0,IF((P393&gt;7501)*(P393&lt;10000),175,200))))</f>
        <v>200</v>
      </c>
      <c r="T393" s="13">
        <v>0</v>
      </c>
      <c r="U393" s="13">
        <f>SUM(Q393:T393)</f>
        <v>987.64516129032245</v>
      </c>
      <c r="V393" s="13">
        <f>P393-U393</f>
        <v>22714.129032258064</v>
      </c>
      <c r="W393" s="13">
        <v>11875</v>
      </c>
      <c r="X393" s="13">
        <f>V393-W393</f>
        <v>10839.129032258064</v>
      </c>
      <c r="Y393" s="12">
        <f t="shared" si="177"/>
        <v>636.29032258064512</v>
      </c>
      <c r="Z393" s="12">
        <f>CEILING(((P393-O393)*4.75%),1)</f>
        <v>562</v>
      </c>
      <c r="AA393" s="1">
        <f t="shared" si="161"/>
        <v>0</v>
      </c>
      <c r="AB393" s="16">
        <f>SUM(Y393:AA393)</f>
        <v>1198.2903225806451</v>
      </c>
      <c r="AC393" s="16">
        <f>P393+AB393</f>
        <v>24900.06451612903</v>
      </c>
    </row>
    <row r="394" spans="1:29" x14ac:dyDescent="0.2">
      <c r="A394" s="10" t="s">
        <v>59</v>
      </c>
      <c r="B394" s="11">
        <f t="shared" si="178"/>
        <v>389</v>
      </c>
      <c r="C394" s="11" t="s">
        <v>53</v>
      </c>
      <c r="D394" s="11" t="s">
        <v>52</v>
      </c>
      <c r="F394" s="22">
        <v>42370</v>
      </c>
      <c r="G394" s="11">
        <v>29</v>
      </c>
      <c r="H394" s="13">
        <f t="shared" si="170"/>
        <v>4677.4193548387093</v>
      </c>
      <c r="I394" s="13">
        <f t="shared" si="175"/>
        <v>0</v>
      </c>
      <c r="J394" s="13">
        <f t="shared" si="176"/>
        <v>233.87096774193549</v>
      </c>
      <c r="L394" s="13">
        <f t="shared" si="180"/>
        <v>748.38709677419354</v>
      </c>
      <c r="N394" s="13">
        <f>((1950+2484+1075)/G$3)*G394</f>
        <v>5153.5806451612907</v>
      </c>
      <c r="P394" s="13">
        <f t="shared" si="141"/>
        <v>10813.258064516129</v>
      </c>
      <c r="Q394" s="12">
        <f t="shared" si="171"/>
        <v>561.29032258064512</v>
      </c>
      <c r="R394" s="12">
        <f t="shared" ref="R394:R457" si="182">ROUNDUP((P394*1.75%),0)</f>
        <v>190</v>
      </c>
      <c r="S394" s="21">
        <f t="shared" si="181"/>
        <v>200</v>
      </c>
      <c r="T394" s="13">
        <v>0</v>
      </c>
      <c r="U394" s="13">
        <f t="shared" ref="U394:U396" si="183">SUM(Q394:T394)</f>
        <v>951.29032258064512</v>
      </c>
      <c r="V394" s="13">
        <f t="shared" ref="V394:V411" si="184">P394-U394</f>
        <v>9861.967741935483</v>
      </c>
      <c r="X394" s="13">
        <f>V394-W394</f>
        <v>9861.967741935483</v>
      </c>
      <c r="Y394" s="12">
        <f t="shared" si="177"/>
        <v>615.08064516129025</v>
      </c>
      <c r="Z394" s="12">
        <f t="shared" si="173"/>
        <v>514</v>
      </c>
      <c r="AA394" s="1">
        <f t="shared" si="161"/>
        <v>0</v>
      </c>
      <c r="AB394" s="16">
        <f t="shared" ref="AB394:AB396" si="185">SUM(Y394:AA394)</f>
        <v>1129.0806451612902</v>
      </c>
      <c r="AC394" s="16">
        <f>P394+AB394</f>
        <v>11942.338709677419</v>
      </c>
    </row>
    <row r="395" spans="1:29" x14ac:dyDescent="0.2">
      <c r="A395" s="10" t="s">
        <v>60</v>
      </c>
      <c r="B395" s="11">
        <f t="shared" si="178"/>
        <v>390</v>
      </c>
      <c r="C395" s="11" t="s">
        <v>54</v>
      </c>
      <c r="D395" s="11" t="s">
        <v>52</v>
      </c>
      <c r="F395" s="22">
        <v>42370</v>
      </c>
      <c r="G395" s="11">
        <v>29</v>
      </c>
      <c r="H395" s="13">
        <f t="shared" si="170"/>
        <v>4677.4193548387093</v>
      </c>
      <c r="I395" s="13">
        <f t="shared" si="175"/>
        <v>0</v>
      </c>
      <c r="J395" s="13">
        <f t="shared" si="176"/>
        <v>233.87096774193549</v>
      </c>
      <c r="L395" s="13">
        <f t="shared" si="180"/>
        <v>748.38709677419354</v>
      </c>
      <c r="N395" s="13">
        <f>((1950+2484+1075)/G$3)*G395</f>
        <v>5153.5806451612907</v>
      </c>
      <c r="P395" s="13">
        <f t="shared" si="141"/>
        <v>10813.258064516129</v>
      </c>
      <c r="Q395" s="12">
        <f t="shared" si="171"/>
        <v>561.29032258064512</v>
      </c>
      <c r="R395" s="12">
        <f t="shared" si="182"/>
        <v>190</v>
      </c>
      <c r="S395" s="21">
        <f t="shared" si="181"/>
        <v>200</v>
      </c>
      <c r="T395" s="13">
        <v>0</v>
      </c>
      <c r="U395" s="13">
        <f t="shared" si="183"/>
        <v>951.29032258064512</v>
      </c>
      <c r="V395" s="13">
        <f t="shared" si="184"/>
        <v>9861.967741935483</v>
      </c>
      <c r="X395" s="13">
        <f>V395-W395</f>
        <v>9861.967741935483</v>
      </c>
      <c r="Y395" s="12">
        <f t="shared" si="177"/>
        <v>615.08064516129025</v>
      </c>
      <c r="Z395" s="12">
        <f t="shared" si="173"/>
        <v>514</v>
      </c>
      <c r="AA395" s="1">
        <f t="shared" si="161"/>
        <v>0</v>
      </c>
      <c r="AB395" s="16">
        <f t="shared" si="185"/>
        <v>1129.0806451612902</v>
      </c>
      <c r="AC395" s="16">
        <f t="shared" ref="AC395:AC458" si="186">P395+AB395</f>
        <v>11942.338709677419</v>
      </c>
    </row>
    <row r="396" spans="1:29" x14ac:dyDescent="0.2">
      <c r="A396" s="10" t="s">
        <v>61</v>
      </c>
      <c r="B396" s="11">
        <f t="shared" si="178"/>
        <v>391</v>
      </c>
      <c r="C396" s="11" t="s">
        <v>55</v>
      </c>
      <c r="D396" s="11" t="s">
        <v>52</v>
      </c>
      <c r="F396" s="22">
        <v>42388</v>
      </c>
      <c r="G396" s="11">
        <v>28</v>
      </c>
      <c r="H396" s="13">
        <f t="shared" si="170"/>
        <v>4516.1290322580644</v>
      </c>
      <c r="I396" s="13">
        <f t="shared" si="175"/>
        <v>0</v>
      </c>
      <c r="J396" s="13">
        <f t="shared" si="176"/>
        <v>225.80645161290323</v>
      </c>
      <c r="L396" s="13">
        <f t="shared" si="180"/>
        <v>722.58064516129025</v>
      </c>
      <c r="N396" s="13">
        <f>((1950+2484+1737)/G$3)*G396</f>
        <v>5573.8064516129034</v>
      </c>
      <c r="P396" s="13">
        <f t="shared" si="141"/>
        <v>11038.322580645161</v>
      </c>
      <c r="Q396" s="12">
        <f t="shared" si="171"/>
        <v>541.93548387096769</v>
      </c>
      <c r="R396" s="12">
        <f>ROUNDUP(((P396-O396)*1.75%),0)</f>
        <v>194</v>
      </c>
      <c r="S396" s="21">
        <f t="shared" si="181"/>
        <v>200</v>
      </c>
      <c r="T396" s="13">
        <v>0</v>
      </c>
      <c r="U396" s="13">
        <f t="shared" si="183"/>
        <v>935.93548387096769</v>
      </c>
      <c r="V396" s="13">
        <f t="shared" si="184"/>
        <v>10102.387096774193</v>
      </c>
      <c r="X396" s="13">
        <f t="shared" ref="X396:X459" si="187">V396-W396</f>
        <v>10102.387096774193</v>
      </c>
      <c r="Y396" s="12">
        <f t="shared" si="177"/>
        <v>593.87096774193549</v>
      </c>
      <c r="Z396" s="12">
        <f t="shared" si="173"/>
        <v>525</v>
      </c>
      <c r="AA396" s="1">
        <f t="shared" ref="AA396:AA459" si="188">T396*3</f>
        <v>0</v>
      </c>
      <c r="AB396" s="16">
        <f t="shared" si="185"/>
        <v>1118.8709677419356</v>
      </c>
      <c r="AC396" s="16">
        <f t="shared" si="186"/>
        <v>12157.193548387097</v>
      </c>
    </row>
    <row r="397" spans="1:29" x14ac:dyDescent="0.2">
      <c r="A397" s="10" t="s">
        <v>93</v>
      </c>
      <c r="B397" s="11">
        <f t="shared" si="178"/>
        <v>392</v>
      </c>
      <c r="C397" s="11" t="s">
        <v>70</v>
      </c>
      <c r="D397" s="11" t="s">
        <v>52</v>
      </c>
      <c r="F397" s="22">
        <v>42493</v>
      </c>
      <c r="G397" s="11">
        <v>27</v>
      </c>
      <c r="H397" s="13">
        <f t="shared" si="170"/>
        <v>4354.8387096774195</v>
      </c>
      <c r="I397" s="13">
        <f t="shared" si="175"/>
        <v>0</v>
      </c>
      <c r="J397" s="13">
        <f t="shared" si="176"/>
        <v>217.74193548387098</v>
      </c>
      <c r="L397" s="13">
        <f t="shared" si="180"/>
        <v>696.77419354838707</v>
      </c>
      <c r="N397" s="13">
        <f>((1950+2484+1390)/G$3)*G397</f>
        <v>5072.5161290322585</v>
      </c>
      <c r="P397" s="13">
        <f t="shared" si="141"/>
        <v>10341.870967741936</v>
      </c>
      <c r="Q397" s="12">
        <f t="shared" si="171"/>
        <v>522.58064516129036</v>
      </c>
      <c r="R397" s="12">
        <f t="shared" ref="R397:R398" si="189">ROUNDUP(((P397-O397)*1.75%),0)</f>
        <v>181</v>
      </c>
      <c r="S397" s="21">
        <f t="shared" si="181"/>
        <v>200</v>
      </c>
      <c r="T397" s="13">
        <v>0</v>
      </c>
      <c r="U397" s="13">
        <f t="shared" ref="U397" si="190">SUM(Q397:T397)</f>
        <v>903.58064516129036</v>
      </c>
      <c r="V397" s="13">
        <f t="shared" si="184"/>
        <v>9438.2903225806458</v>
      </c>
      <c r="X397" s="13">
        <f t="shared" si="187"/>
        <v>9438.2903225806458</v>
      </c>
      <c r="Y397" s="12">
        <f t="shared" si="177"/>
        <v>572.66129032258073</v>
      </c>
      <c r="Z397" s="12">
        <f t="shared" si="173"/>
        <v>492</v>
      </c>
      <c r="AA397" s="1">
        <f t="shared" si="188"/>
        <v>0</v>
      </c>
      <c r="AB397" s="16">
        <f t="shared" ref="AB397" si="191">SUM(Y397:AA397)</f>
        <v>1064.6612903225807</v>
      </c>
      <c r="AC397" s="16">
        <f t="shared" si="186"/>
        <v>11406.532258064517</v>
      </c>
    </row>
    <row r="398" spans="1:29" x14ac:dyDescent="0.2">
      <c r="A398" s="10" t="s">
        <v>104</v>
      </c>
      <c r="B398" s="11">
        <f t="shared" si="178"/>
        <v>393</v>
      </c>
      <c r="C398" s="11" t="s">
        <v>87</v>
      </c>
      <c r="D398" s="11" t="s">
        <v>52</v>
      </c>
      <c r="F398" s="22">
        <v>42522</v>
      </c>
      <c r="G398" s="11">
        <v>28</v>
      </c>
      <c r="H398" s="13">
        <f t="shared" si="170"/>
        <v>4516.1290322580644</v>
      </c>
      <c r="I398" s="13">
        <f t="shared" si="175"/>
        <v>0</v>
      </c>
      <c r="J398" s="13">
        <f t="shared" si="176"/>
        <v>225.80645161290323</v>
      </c>
      <c r="L398" s="13">
        <f t="shared" si="180"/>
        <v>722.58064516129025</v>
      </c>
      <c r="N398" s="13">
        <f>((1950+2484+1158)/G$3)*G398</f>
        <v>5050.8387096774186</v>
      </c>
      <c r="P398" s="13">
        <f t="shared" si="141"/>
        <v>10515.354838709676</v>
      </c>
      <c r="Q398" s="12">
        <f t="shared" si="171"/>
        <v>541.93548387096769</v>
      </c>
      <c r="R398" s="12">
        <f t="shared" si="189"/>
        <v>185</v>
      </c>
      <c r="S398" s="21">
        <f t="shared" si="181"/>
        <v>200</v>
      </c>
      <c r="T398" s="13">
        <v>0</v>
      </c>
      <c r="U398" s="13">
        <f t="shared" ref="U398:U403" si="192">SUM(Q398:T398)</f>
        <v>926.93548387096769</v>
      </c>
      <c r="V398" s="13">
        <f t="shared" si="184"/>
        <v>9588.4193548387084</v>
      </c>
      <c r="X398" s="13">
        <f t="shared" si="187"/>
        <v>9588.4193548387084</v>
      </c>
      <c r="Y398" s="12">
        <f t="shared" si="177"/>
        <v>593.87096774193549</v>
      </c>
      <c r="Z398" s="12">
        <f t="shared" si="173"/>
        <v>500</v>
      </c>
      <c r="AA398" s="1">
        <f t="shared" si="188"/>
        <v>0</v>
      </c>
      <c r="AB398" s="16">
        <f t="shared" ref="AB398:AB403" si="193">SUM(Y398:AA398)</f>
        <v>1093.8709677419356</v>
      </c>
      <c r="AC398" s="16">
        <f t="shared" si="186"/>
        <v>11609.225806451612</v>
      </c>
    </row>
    <row r="399" spans="1:29" x14ac:dyDescent="0.2">
      <c r="A399" s="10" t="s">
        <v>143</v>
      </c>
      <c r="B399" s="11">
        <f t="shared" si="178"/>
        <v>394</v>
      </c>
      <c r="C399" s="11" t="s">
        <v>129</v>
      </c>
      <c r="D399" s="11" t="s">
        <v>52</v>
      </c>
      <c r="F399" s="22">
        <v>42668</v>
      </c>
      <c r="G399" s="11">
        <v>30</v>
      </c>
      <c r="H399" s="13">
        <f t="shared" si="170"/>
        <v>4838.7096774193542</v>
      </c>
      <c r="I399" s="13">
        <f t="shared" si="175"/>
        <v>0</v>
      </c>
      <c r="J399" s="13">
        <f t="shared" si="176"/>
        <v>241.93548387096772</v>
      </c>
      <c r="L399" s="13">
        <f t="shared" si="180"/>
        <v>774.19354838709671</v>
      </c>
      <c r="N399" s="13">
        <f>((1950+2484+4016)/G$3)*G399</f>
        <v>8177.4193548387093</v>
      </c>
      <c r="P399" s="13">
        <f t="shared" si="141"/>
        <v>14032.258064516129</v>
      </c>
      <c r="Q399" s="12">
        <f t="shared" si="171"/>
        <v>580.64516129032245</v>
      </c>
      <c r="R399" s="12">
        <f t="shared" si="182"/>
        <v>246</v>
      </c>
      <c r="S399" s="21">
        <f t="shared" si="181"/>
        <v>200</v>
      </c>
      <c r="T399" s="13">
        <v>0</v>
      </c>
      <c r="U399" s="13">
        <f t="shared" si="192"/>
        <v>1026.6451612903224</v>
      </c>
      <c r="V399" s="13">
        <f t="shared" si="184"/>
        <v>13005.612903225807</v>
      </c>
      <c r="X399" s="13">
        <f t="shared" si="187"/>
        <v>13005.612903225807</v>
      </c>
      <c r="Y399" s="12">
        <f t="shared" si="177"/>
        <v>636.29032258064512</v>
      </c>
      <c r="Z399" s="12">
        <f t="shared" si="173"/>
        <v>667</v>
      </c>
      <c r="AA399" s="1">
        <f t="shared" si="188"/>
        <v>0</v>
      </c>
      <c r="AB399" s="16">
        <f t="shared" si="193"/>
        <v>1303.2903225806451</v>
      </c>
      <c r="AC399" s="16">
        <f t="shared" si="186"/>
        <v>15335.548387096775</v>
      </c>
    </row>
    <row r="400" spans="1:29" x14ac:dyDescent="0.2">
      <c r="A400" s="10" t="s">
        <v>165</v>
      </c>
      <c r="B400" s="11">
        <f t="shared" si="178"/>
        <v>395</v>
      </c>
      <c r="C400" s="11" t="s">
        <v>132</v>
      </c>
      <c r="D400" s="11" t="s">
        <v>52</v>
      </c>
      <c r="F400" s="22">
        <v>42697</v>
      </c>
      <c r="G400" s="11">
        <v>29</v>
      </c>
      <c r="H400" s="13">
        <f t="shared" si="170"/>
        <v>4677.4193548387093</v>
      </c>
      <c r="I400" s="13">
        <f t="shared" si="175"/>
        <v>0</v>
      </c>
      <c r="J400" s="13">
        <f t="shared" si="176"/>
        <v>233.87096774193549</v>
      </c>
      <c r="L400" s="13">
        <f t="shared" si="180"/>
        <v>748.38709677419354</v>
      </c>
      <c r="N400" s="13">
        <f>((1950+1484-43)/G$3)*G400</f>
        <v>3172.2258064516132</v>
      </c>
      <c r="P400" s="13">
        <f t="shared" si="141"/>
        <v>8831.9032258064508</v>
      </c>
      <c r="Q400" s="12">
        <f t="shared" si="171"/>
        <v>561.29032258064512</v>
      </c>
      <c r="R400" s="12">
        <f t="shared" si="182"/>
        <v>155</v>
      </c>
      <c r="S400" s="21">
        <f t="shared" si="181"/>
        <v>175</v>
      </c>
      <c r="T400" s="13">
        <v>0</v>
      </c>
      <c r="U400" s="13">
        <f t="shared" si="192"/>
        <v>891.29032258064512</v>
      </c>
      <c r="V400" s="13">
        <f t="shared" si="184"/>
        <v>7940.6129032258059</v>
      </c>
      <c r="X400" s="13">
        <f t="shared" si="187"/>
        <v>7940.6129032258059</v>
      </c>
      <c r="Y400" s="12">
        <f t="shared" si="177"/>
        <v>615.08064516129025</v>
      </c>
      <c r="Z400" s="12">
        <f t="shared" si="173"/>
        <v>420</v>
      </c>
      <c r="AA400" s="1">
        <f t="shared" si="188"/>
        <v>0</v>
      </c>
      <c r="AB400" s="16">
        <f t="shared" si="193"/>
        <v>1035.0806451612902</v>
      </c>
      <c r="AC400" s="16">
        <f t="shared" si="186"/>
        <v>9866.9838709677406</v>
      </c>
    </row>
    <row r="401" spans="1:29" x14ac:dyDescent="0.2">
      <c r="A401" s="10" t="s">
        <v>166</v>
      </c>
      <c r="B401" s="11">
        <f t="shared" si="178"/>
        <v>396</v>
      </c>
      <c r="C401" s="11" t="s">
        <v>133</v>
      </c>
      <c r="D401" s="11" t="s">
        <v>52</v>
      </c>
      <c r="F401" s="22">
        <v>42697</v>
      </c>
      <c r="G401" s="11">
        <v>29</v>
      </c>
      <c r="H401" s="13">
        <f t="shared" si="170"/>
        <v>4677.4193548387093</v>
      </c>
      <c r="I401" s="13">
        <f t="shared" si="175"/>
        <v>0</v>
      </c>
      <c r="J401" s="13">
        <f t="shared" si="176"/>
        <v>233.87096774193549</v>
      </c>
      <c r="L401" s="13">
        <f t="shared" si="180"/>
        <v>748.38709677419354</v>
      </c>
      <c r="N401" s="13">
        <f>((1950+1484-43)/G$3)*G401</f>
        <v>3172.2258064516132</v>
      </c>
      <c r="P401" s="13">
        <f t="shared" si="141"/>
        <v>8831.9032258064508</v>
      </c>
      <c r="Q401" s="12">
        <f t="shared" si="171"/>
        <v>561.29032258064512</v>
      </c>
      <c r="R401" s="12">
        <f t="shared" si="182"/>
        <v>155</v>
      </c>
      <c r="S401" s="21">
        <f t="shared" si="181"/>
        <v>175</v>
      </c>
      <c r="T401" s="13">
        <v>0</v>
      </c>
      <c r="U401" s="13">
        <f t="shared" si="192"/>
        <v>891.29032258064512</v>
      </c>
      <c r="V401" s="13">
        <f t="shared" si="184"/>
        <v>7940.6129032258059</v>
      </c>
      <c r="X401" s="13">
        <f t="shared" si="187"/>
        <v>7940.6129032258059</v>
      </c>
      <c r="Y401" s="12">
        <f t="shared" si="177"/>
        <v>615.08064516129025</v>
      </c>
      <c r="Z401" s="12">
        <f t="shared" si="173"/>
        <v>420</v>
      </c>
      <c r="AA401" s="1">
        <f t="shared" si="188"/>
        <v>0</v>
      </c>
      <c r="AB401" s="16">
        <f t="shared" si="193"/>
        <v>1035.0806451612902</v>
      </c>
      <c r="AC401" s="16">
        <f t="shared" si="186"/>
        <v>9866.9838709677406</v>
      </c>
    </row>
    <row r="402" spans="1:29" x14ac:dyDescent="0.2">
      <c r="A402" s="10" t="s">
        <v>230</v>
      </c>
      <c r="B402" s="11">
        <f t="shared" si="178"/>
        <v>397</v>
      </c>
      <c r="C402" s="11" t="s">
        <v>169</v>
      </c>
      <c r="D402" s="11" t="s">
        <v>52</v>
      </c>
      <c r="F402" s="22">
        <v>42736</v>
      </c>
      <c r="G402" s="11">
        <v>33</v>
      </c>
      <c r="H402" s="13">
        <f t="shared" si="170"/>
        <v>5322.5806451612898</v>
      </c>
      <c r="I402" s="13">
        <f t="shared" si="175"/>
        <v>0</v>
      </c>
      <c r="J402" s="13">
        <f t="shared" si="176"/>
        <v>266.12903225806451</v>
      </c>
      <c r="L402" s="13">
        <f t="shared" si="180"/>
        <v>851.61290322580635</v>
      </c>
      <c r="N402" s="13">
        <f>((9828-1832)/G$3)*G402</f>
        <v>8511.8709677419356</v>
      </c>
      <c r="P402" s="13">
        <f t="shared" si="141"/>
        <v>14952.193548387097</v>
      </c>
      <c r="Q402" s="12">
        <f t="shared" si="171"/>
        <v>638.70967741935476</v>
      </c>
      <c r="R402" s="12">
        <f t="shared" si="182"/>
        <v>262</v>
      </c>
      <c r="S402" s="21">
        <f t="shared" si="181"/>
        <v>200</v>
      </c>
      <c r="T402" s="13">
        <v>0</v>
      </c>
      <c r="U402" s="13">
        <f t="shared" si="192"/>
        <v>1100.7096774193546</v>
      </c>
      <c r="V402" s="13">
        <f t="shared" si="184"/>
        <v>13851.483870967742</v>
      </c>
      <c r="X402" s="13">
        <f t="shared" si="187"/>
        <v>13851.483870967742</v>
      </c>
      <c r="Y402" s="12">
        <f t="shared" si="177"/>
        <v>699.91935483870964</v>
      </c>
      <c r="Z402" s="12">
        <f t="shared" si="173"/>
        <v>711</v>
      </c>
      <c r="AA402" s="1">
        <f t="shared" si="188"/>
        <v>0</v>
      </c>
      <c r="AB402" s="16">
        <f t="shared" si="193"/>
        <v>1410.9193548387098</v>
      </c>
      <c r="AC402" s="16">
        <f t="shared" si="186"/>
        <v>16363.112903225807</v>
      </c>
    </row>
    <row r="403" spans="1:29" x14ac:dyDescent="0.2">
      <c r="A403" s="10" t="s">
        <v>231</v>
      </c>
      <c r="B403" s="11">
        <f t="shared" si="178"/>
        <v>398</v>
      </c>
      <c r="C403" s="11" t="s">
        <v>170</v>
      </c>
      <c r="D403" s="11" t="s">
        <v>52</v>
      </c>
      <c r="F403" s="22">
        <v>42736</v>
      </c>
      <c r="G403" s="11">
        <v>33</v>
      </c>
      <c r="H403" s="13">
        <f t="shared" si="170"/>
        <v>5322.5806451612898</v>
      </c>
      <c r="I403" s="13">
        <f t="shared" si="175"/>
        <v>0</v>
      </c>
      <c r="J403" s="13">
        <f t="shared" si="176"/>
        <v>266.12903225806451</v>
      </c>
      <c r="L403" s="13">
        <f t="shared" si="180"/>
        <v>851.61290322580635</v>
      </c>
      <c r="N403" s="13">
        <f>((9828-78+282)/G$3)*G403</f>
        <v>10679.225806451614</v>
      </c>
      <c r="P403" s="13">
        <f t="shared" si="141"/>
        <v>17119.548387096773</v>
      </c>
      <c r="Q403" s="12">
        <f t="shared" si="171"/>
        <v>638.70967741935476</v>
      </c>
      <c r="R403" s="12">
        <f t="shared" si="182"/>
        <v>300</v>
      </c>
      <c r="S403" s="21">
        <f t="shared" si="181"/>
        <v>200</v>
      </c>
      <c r="T403" s="13">
        <v>0</v>
      </c>
      <c r="U403" s="13">
        <f t="shared" si="192"/>
        <v>1138.7096774193546</v>
      </c>
      <c r="V403" s="13">
        <f t="shared" si="184"/>
        <v>15980.838709677419</v>
      </c>
      <c r="X403" s="13">
        <f t="shared" si="187"/>
        <v>15980.838709677419</v>
      </c>
      <c r="Y403" s="12">
        <f t="shared" si="177"/>
        <v>699.91935483870964</v>
      </c>
      <c r="Z403" s="12">
        <f t="shared" si="173"/>
        <v>814</v>
      </c>
      <c r="AA403" s="1">
        <f t="shared" si="188"/>
        <v>0</v>
      </c>
      <c r="AB403" s="16">
        <f t="shared" si="193"/>
        <v>1513.9193548387098</v>
      </c>
      <c r="AC403" s="16">
        <f t="shared" si="186"/>
        <v>18633.467741935481</v>
      </c>
    </row>
    <row r="404" spans="1:29" x14ac:dyDescent="0.2">
      <c r="A404" s="10" t="s">
        <v>308</v>
      </c>
      <c r="B404" s="11">
        <f t="shared" si="178"/>
        <v>399</v>
      </c>
      <c r="C404" s="11" t="s">
        <v>265</v>
      </c>
      <c r="D404" s="11" t="s">
        <v>52</v>
      </c>
      <c r="F404" s="22">
        <v>42795</v>
      </c>
      <c r="G404" s="11">
        <v>31.5</v>
      </c>
      <c r="H404" s="13">
        <f t="shared" si="170"/>
        <v>5080.645161290322</v>
      </c>
      <c r="I404" s="13">
        <f t="shared" si="175"/>
        <v>0</v>
      </c>
      <c r="J404" s="13">
        <f t="shared" si="176"/>
        <v>254.0322580645161</v>
      </c>
      <c r="L404" s="13">
        <f t="shared" si="180"/>
        <v>812.90322580645159</v>
      </c>
      <c r="N404" s="13">
        <f>((9828-78+282)/G$3)*G404</f>
        <v>10193.806451612903</v>
      </c>
      <c r="P404" s="13">
        <f t="shared" si="141"/>
        <v>16341.387096774193</v>
      </c>
      <c r="Q404" s="12">
        <f t="shared" si="171"/>
        <v>609.67741935483866</v>
      </c>
      <c r="R404" s="12">
        <f t="shared" si="182"/>
        <v>286</v>
      </c>
      <c r="S404" s="21">
        <f t="shared" si="181"/>
        <v>200</v>
      </c>
      <c r="T404" s="13">
        <v>0</v>
      </c>
      <c r="U404" s="13">
        <f t="shared" ref="U404:U411" si="194">SUM(Q404:T404)</f>
        <v>1095.6774193548385</v>
      </c>
      <c r="V404" s="13">
        <f t="shared" si="184"/>
        <v>15245.709677419354</v>
      </c>
      <c r="X404" s="13">
        <f t="shared" si="187"/>
        <v>15245.709677419354</v>
      </c>
      <c r="Y404" s="12">
        <f t="shared" si="177"/>
        <v>668.10483870967732</v>
      </c>
      <c r="Z404" s="12">
        <f t="shared" si="173"/>
        <v>777</v>
      </c>
      <c r="AA404" s="1">
        <f t="shared" si="188"/>
        <v>0</v>
      </c>
      <c r="AB404" s="16">
        <f t="shared" ref="AB404:AB411" si="195">SUM(Y404:AA404)</f>
        <v>1445.1048387096773</v>
      </c>
      <c r="AC404" s="16">
        <f t="shared" si="186"/>
        <v>17786.491935483871</v>
      </c>
    </row>
    <row r="405" spans="1:29" x14ac:dyDescent="0.2">
      <c r="A405" s="10" t="s">
        <v>422</v>
      </c>
      <c r="B405" s="11">
        <f t="shared" si="178"/>
        <v>400</v>
      </c>
      <c r="C405" s="11" t="s">
        <v>316</v>
      </c>
      <c r="D405" s="11" t="s">
        <v>52</v>
      </c>
      <c r="F405" s="22">
        <v>42830</v>
      </c>
      <c r="G405" s="11">
        <v>29</v>
      </c>
      <c r="H405" s="13">
        <f t="shared" si="170"/>
        <v>4677.4193548387093</v>
      </c>
      <c r="I405" s="13">
        <f t="shared" si="175"/>
        <v>0</v>
      </c>
      <c r="J405" s="13">
        <f t="shared" si="176"/>
        <v>233.87096774193549</v>
      </c>
      <c r="L405" s="13">
        <f t="shared" si="180"/>
        <v>748.38709677419354</v>
      </c>
      <c r="N405" s="13">
        <f>((3391)/G$3)*G405</f>
        <v>3172.2258064516132</v>
      </c>
      <c r="P405" s="13">
        <f t="shared" si="141"/>
        <v>8831.9032258064508</v>
      </c>
      <c r="Q405" s="12">
        <f t="shared" si="171"/>
        <v>561.29032258064512</v>
      </c>
      <c r="R405" s="12">
        <f t="shared" si="182"/>
        <v>155</v>
      </c>
      <c r="S405" s="21">
        <f t="shared" si="181"/>
        <v>175</v>
      </c>
      <c r="T405" s="13">
        <v>0</v>
      </c>
      <c r="U405" s="13">
        <f t="shared" si="194"/>
        <v>891.29032258064512</v>
      </c>
      <c r="V405" s="13">
        <f t="shared" si="184"/>
        <v>7940.6129032258059</v>
      </c>
      <c r="X405" s="13">
        <f t="shared" si="187"/>
        <v>7940.6129032258059</v>
      </c>
      <c r="Y405" s="12">
        <f t="shared" si="177"/>
        <v>615.08064516129025</v>
      </c>
      <c r="Z405" s="12">
        <f t="shared" si="173"/>
        <v>420</v>
      </c>
      <c r="AA405" s="1">
        <f t="shared" si="188"/>
        <v>0</v>
      </c>
      <c r="AB405" s="16">
        <f t="shared" si="195"/>
        <v>1035.0806451612902</v>
      </c>
      <c r="AC405" s="16">
        <f t="shared" si="186"/>
        <v>9866.9838709677406</v>
      </c>
    </row>
    <row r="406" spans="1:29" x14ac:dyDescent="0.2">
      <c r="A406" s="10" t="s">
        <v>645</v>
      </c>
      <c r="B406" s="11">
        <f t="shared" si="178"/>
        <v>401</v>
      </c>
      <c r="C406" s="11" t="s">
        <v>338</v>
      </c>
      <c r="D406" s="11" t="s">
        <v>52</v>
      </c>
      <c r="F406" s="22">
        <v>42856</v>
      </c>
      <c r="G406" s="11">
        <v>28.5</v>
      </c>
      <c r="H406" s="13">
        <f t="shared" si="170"/>
        <v>4596.7741935483873</v>
      </c>
      <c r="I406" s="13">
        <f t="shared" si="175"/>
        <v>0</v>
      </c>
      <c r="J406" s="13">
        <f t="shared" si="176"/>
        <v>229.83870967741939</v>
      </c>
      <c r="L406" s="13">
        <f t="shared" si="180"/>
        <v>735.48387096774184</v>
      </c>
      <c r="N406" s="13">
        <f>((3391+6641)/G$3)*G406</f>
        <v>9222.9677419354848</v>
      </c>
      <c r="P406" s="13">
        <f t="shared" si="141"/>
        <v>14785.064516129034</v>
      </c>
      <c r="Q406" s="12">
        <f t="shared" si="171"/>
        <v>551.61290322580646</v>
      </c>
      <c r="R406" s="12">
        <f t="shared" si="182"/>
        <v>259</v>
      </c>
      <c r="S406" s="21">
        <f t="shared" si="181"/>
        <v>200</v>
      </c>
      <c r="T406" s="13">
        <v>0</v>
      </c>
      <c r="U406" s="13">
        <f t="shared" si="194"/>
        <v>1010.6129032258065</v>
      </c>
      <c r="V406" s="13">
        <f t="shared" si="184"/>
        <v>13774.451612903227</v>
      </c>
      <c r="X406" s="13">
        <f t="shared" si="187"/>
        <v>13774.451612903227</v>
      </c>
      <c r="Y406" s="12">
        <f t="shared" si="177"/>
        <v>604.47580645161293</v>
      </c>
      <c r="Z406" s="12">
        <f t="shared" si="173"/>
        <v>703</v>
      </c>
      <c r="AA406" s="1">
        <f t="shared" si="188"/>
        <v>0</v>
      </c>
      <c r="AB406" s="16">
        <f t="shared" si="195"/>
        <v>1307.4758064516129</v>
      </c>
      <c r="AC406" s="16">
        <f t="shared" si="186"/>
        <v>16092.540322580648</v>
      </c>
    </row>
    <row r="407" spans="1:29" x14ac:dyDescent="0.2">
      <c r="A407" s="10" t="s">
        <v>646</v>
      </c>
      <c r="B407" s="11">
        <f t="shared" si="178"/>
        <v>402</v>
      </c>
      <c r="C407" s="11" t="s">
        <v>339</v>
      </c>
      <c r="D407" s="11" t="s">
        <v>52</v>
      </c>
      <c r="F407" s="22">
        <v>42856</v>
      </c>
      <c r="G407" s="11">
        <v>33</v>
      </c>
      <c r="H407" s="13">
        <f t="shared" si="170"/>
        <v>5322.5806451612898</v>
      </c>
      <c r="I407" s="13">
        <f t="shared" si="175"/>
        <v>0</v>
      </c>
      <c r="J407" s="13">
        <f t="shared" si="176"/>
        <v>266.12903225806451</v>
      </c>
      <c r="L407" s="13">
        <f t="shared" si="180"/>
        <v>851.61290322580635</v>
      </c>
      <c r="N407" s="13">
        <f>((3391+8641+36)/G$3)*G407</f>
        <v>12846.580645161292</v>
      </c>
      <c r="P407" s="13">
        <f t="shared" si="141"/>
        <v>19286.903225806454</v>
      </c>
      <c r="Q407" s="12">
        <f t="shared" si="171"/>
        <v>638.70967741935476</v>
      </c>
      <c r="R407" s="12">
        <f t="shared" si="182"/>
        <v>338</v>
      </c>
      <c r="S407" s="21">
        <f t="shared" si="181"/>
        <v>200</v>
      </c>
      <c r="T407" s="13">
        <v>0</v>
      </c>
      <c r="U407" s="13">
        <f t="shared" si="194"/>
        <v>1176.7096774193546</v>
      </c>
      <c r="V407" s="13">
        <f t="shared" si="184"/>
        <v>18110.193548387098</v>
      </c>
      <c r="X407" s="13">
        <f t="shared" si="187"/>
        <v>18110.193548387098</v>
      </c>
      <c r="Y407" s="12">
        <f t="shared" si="177"/>
        <v>699.91935483870964</v>
      </c>
      <c r="Z407" s="12">
        <f t="shared" si="173"/>
        <v>917</v>
      </c>
      <c r="AA407" s="1">
        <f t="shared" si="188"/>
        <v>0</v>
      </c>
      <c r="AB407" s="16">
        <f t="shared" si="195"/>
        <v>1616.9193548387098</v>
      </c>
      <c r="AC407" s="16">
        <f t="shared" si="186"/>
        <v>20903.822580645163</v>
      </c>
    </row>
    <row r="408" spans="1:29" x14ac:dyDescent="0.2">
      <c r="A408" s="10" t="s">
        <v>647</v>
      </c>
      <c r="B408" s="11">
        <f t="shared" si="178"/>
        <v>403</v>
      </c>
      <c r="C408" s="11" t="s">
        <v>340</v>
      </c>
      <c r="D408" s="11" t="s">
        <v>52</v>
      </c>
      <c r="F408" s="22">
        <v>42856</v>
      </c>
      <c r="G408" s="11">
        <v>32</v>
      </c>
      <c r="H408" s="13">
        <f t="shared" si="170"/>
        <v>5161.2903225806449</v>
      </c>
      <c r="I408" s="13">
        <f t="shared" si="175"/>
        <v>0</v>
      </c>
      <c r="J408" s="13">
        <f t="shared" si="176"/>
        <v>258.06451612903226</v>
      </c>
      <c r="L408" s="13">
        <f t="shared" si="180"/>
        <v>825.80645161290317</v>
      </c>
      <c r="N408" s="13">
        <f>((9828-1832)/G$3)*G408</f>
        <v>8253.9354838709678</v>
      </c>
      <c r="P408" s="13">
        <f t="shared" si="141"/>
        <v>14499.096774193549</v>
      </c>
      <c r="Q408" s="12">
        <f t="shared" si="171"/>
        <v>619.35483870967732</v>
      </c>
      <c r="R408" s="12">
        <f t="shared" si="182"/>
        <v>254</v>
      </c>
      <c r="S408" s="21">
        <f t="shared" si="181"/>
        <v>200</v>
      </c>
      <c r="T408" s="13">
        <v>0</v>
      </c>
      <c r="U408" s="13">
        <f t="shared" si="194"/>
        <v>1073.3548387096773</v>
      </c>
      <c r="V408" s="13">
        <f t="shared" si="184"/>
        <v>13425.741935483871</v>
      </c>
      <c r="X408" s="13">
        <f t="shared" si="187"/>
        <v>13425.741935483871</v>
      </c>
      <c r="Y408" s="12">
        <f t="shared" si="177"/>
        <v>678.70967741935488</v>
      </c>
      <c r="Z408" s="12">
        <f t="shared" si="173"/>
        <v>689</v>
      </c>
      <c r="AA408" s="1">
        <f t="shared" si="188"/>
        <v>0</v>
      </c>
      <c r="AB408" s="16">
        <f t="shared" si="195"/>
        <v>1367.7096774193549</v>
      </c>
      <c r="AC408" s="16">
        <f t="shared" si="186"/>
        <v>15866.806451612903</v>
      </c>
    </row>
    <row r="409" spans="1:29" x14ac:dyDescent="0.2">
      <c r="A409" s="10" t="s">
        <v>648</v>
      </c>
      <c r="B409" s="11">
        <f t="shared" si="178"/>
        <v>404</v>
      </c>
      <c r="C409" s="11" t="s">
        <v>341</v>
      </c>
      <c r="D409" s="11" t="s">
        <v>52</v>
      </c>
      <c r="F409" s="22">
        <v>42856</v>
      </c>
      <c r="G409" s="11">
        <v>30</v>
      </c>
      <c r="H409" s="13">
        <f t="shared" si="170"/>
        <v>4838.7096774193542</v>
      </c>
      <c r="I409" s="13">
        <f t="shared" si="175"/>
        <v>0</v>
      </c>
      <c r="J409" s="13">
        <f t="shared" si="176"/>
        <v>241.93548387096772</v>
      </c>
      <c r="L409" s="13">
        <f t="shared" si="180"/>
        <v>774.19354838709671</v>
      </c>
      <c r="N409" s="13">
        <f>((3391+8641+36)/G$3)*G409</f>
        <v>11678.709677419356</v>
      </c>
      <c r="P409" s="13">
        <f t="shared" si="141"/>
        <v>17533.548387096773</v>
      </c>
      <c r="Q409" s="12">
        <f t="shared" si="171"/>
        <v>580.64516129032245</v>
      </c>
      <c r="R409" s="12">
        <f t="shared" si="182"/>
        <v>307</v>
      </c>
      <c r="S409" s="21">
        <f t="shared" si="181"/>
        <v>200</v>
      </c>
      <c r="T409" s="13">
        <v>0</v>
      </c>
      <c r="U409" s="13">
        <f t="shared" si="194"/>
        <v>1087.6451612903224</v>
      </c>
      <c r="V409" s="13">
        <f t="shared" si="184"/>
        <v>16445.903225806451</v>
      </c>
      <c r="X409" s="13">
        <f t="shared" si="187"/>
        <v>16445.903225806451</v>
      </c>
      <c r="Y409" s="12">
        <f t="shared" si="177"/>
        <v>636.29032258064512</v>
      </c>
      <c r="Z409" s="12">
        <f t="shared" si="173"/>
        <v>833</v>
      </c>
      <c r="AA409" s="1">
        <f t="shared" si="188"/>
        <v>0</v>
      </c>
      <c r="AB409" s="16">
        <f t="shared" si="195"/>
        <v>1469.2903225806451</v>
      </c>
      <c r="AC409" s="16">
        <f t="shared" si="186"/>
        <v>19002.838709677417</v>
      </c>
    </row>
    <row r="410" spans="1:29" x14ac:dyDescent="0.2">
      <c r="A410" s="10" t="s">
        <v>649</v>
      </c>
      <c r="B410" s="11">
        <f t="shared" si="178"/>
        <v>405</v>
      </c>
      <c r="C410" s="11" t="s">
        <v>342</v>
      </c>
      <c r="D410" s="11" t="s">
        <v>52</v>
      </c>
      <c r="F410" s="22">
        <v>42856</v>
      </c>
      <c r="G410" s="11">
        <v>30</v>
      </c>
      <c r="H410" s="13">
        <f t="shared" si="170"/>
        <v>4838.7096774193542</v>
      </c>
      <c r="I410" s="13">
        <f t="shared" si="175"/>
        <v>0</v>
      </c>
      <c r="J410" s="13">
        <f t="shared" si="176"/>
        <v>241.93548387096772</v>
      </c>
      <c r="L410" s="13">
        <f t="shared" si="180"/>
        <v>774.19354838709671</v>
      </c>
      <c r="N410" s="13">
        <f>((9828-1832)/G$3)*G410</f>
        <v>7738.0645161290322</v>
      </c>
      <c r="P410" s="13">
        <f t="shared" si="141"/>
        <v>13592.903225806451</v>
      </c>
      <c r="Q410" s="12">
        <f t="shared" si="171"/>
        <v>580.64516129032245</v>
      </c>
      <c r="R410" s="12">
        <f t="shared" si="182"/>
        <v>238</v>
      </c>
      <c r="S410" s="21">
        <f t="shared" si="181"/>
        <v>200</v>
      </c>
      <c r="T410" s="13">
        <v>0</v>
      </c>
      <c r="U410" s="13">
        <f t="shared" si="194"/>
        <v>1018.6451612903224</v>
      </c>
      <c r="V410" s="13">
        <f t="shared" si="184"/>
        <v>12574.258064516129</v>
      </c>
      <c r="X410" s="13">
        <f t="shared" si="187"/>
        <v>12574.258064516129</v>
      </c>
      <c r="Y410" s="12">
        <f t="shared" si="177"/>
        <v>636.29032258064512</v>
      </c>
      <c r="Z410" s="12">
        <f t="shared" si="173"/>
        <v>646</v>
      </c>
      <c r="AA410" s="1">
        <f t="shared" si="188"/>
        <v>0</v>
      </c>
      <c r="AB410" s="16">
        <f t="shared" si="195"/>
        <v>1282.2903225806451</v>
      </c>
      <c r="AC410" s="16">
        <f t="shared" si="186"/>
        <v>14875.193548387097</v>
      </c>
    </row>
    <row r="411" spans="1:29" x14ac:dyDescent="0.2">
      <c r="A411" s="10" t="s">
        <v>650</v>
      </c>
      <c r="B411" s="11">
        <f t="shared" si="178"/>
        <v>406</v>
      </c>
      <c r="C411" s="11" t="s">
        <v>343</v>
      </c>
      <c r="D411" s="11" t="s">
        <v>52</v>
      </c>
      <c r="F411" s="22">
        <v>42856</v>
      </c>
      <c r="G411" s="11">
        <v>30</v>
      </c>
      <c r="H411" s="13">
        <f t="shared" si="170"/>
        <v>4838.7096774193542</v>
      </c>
      <c r="I411" s="13">
        <f t="shared" si="175"/>
        <v>0</v>
      </c>
      <c r="J411" s="13">
        <f t="shared" si="176"/>
        <v>241.93548387096772</v>
      </c>
      <c r="L411" s="13">
        <f t="shared" si="180"/>
        <v>774.19354838709671</v>
      </c>
      <c r="N411" s="13">
        <f>((3391+7641+18)/G$3)*G411</f>
        <v>10693.548387096775</v>
      </c>
      <c r="P411" s="13">
        <f t="shared" si="141"/>
        <v>16548.387096774193</v>
      </c>
      <c r="Q411" s="12">
        <f t="shared" si="171"/>
        <v>580.64516129032245</v>
      </c>
      <c r="R411" s="12">
        <f t="shared" si="182"/>
        <v>290</v>
      </c>
      <c r="S411" s="21">
        <f t="shared" si="181"/>
        <v>200</v>
      </c>
      <c r="T411" s="13">
        <v>0</v>
      </c>
      <c r="U411" s="13">
        <f t="shared" si="194"/>
        <v>1070.6451612903224</v>
      </c>
      <c r="V411" s="13">
        <f t="shared" si="184"/>
        <v>15477.741935483871</v>
      </c>
      <c r="X411" s="13">
        <f t="shared" si="187"/>
        <v>15477.741935483871</v>
      </c>
      <c r="Y411" s="12">
        <f t="shared" si="177"/>
        <v>636.29032258064512</v>
      </c>
      <c r="Z411" s="12">
        <f t="shared" si="173"/>
        <v>787</v>
      </c>
      <c r="AA411" s="1">
        <f t="shared" si="188"/>
        <v>0</v>
      </c>
      <c r="AB411" s="16">
        <f t="shared" si="195"/>
        <v>1423.2903225806451</v>
      </c>
      <c r="AC411" s="16">
        <f t="shared" si="186"/>
        <v>17971.677419354837</v>
      </c>
    </row>
    <row r="412" spans="1:29" x14ac:dyDescent="0.2">
      <c r="A412" s="10" t="s">
        <v>907</v>
      </c>
      <c r="B412" s="11">
        <f t="shared" si="178"/>
        <v>407</v>
      </c>
      <c r="C412" s="11" t="s">
        <v>471</v>
      </c>
      <c r="D412" s="11" t="s">
        <v>52</v>
      </c>
      <c r="F412" s="22">
        <v>42887</v>
      </c>
      <c r="G412" s="11">
        <v>31</v>
      </c>
      <c r="H412" s="13">
        <f>(5000/G$3)*G412</f>
        <v>5000</v>
      </c>
      <c r="I412" s="13">
        <f>((0)/G$3)*G412</f>
        <v>0</v>
      </c>
      <c r="J412" s="13">
        <f>(H412+I412)*5%</f>
        <v>250</v>
      </c>
      <c r="L412" s="13">
        <f>((800)/G$3)*G412</f>
        <v>800</v>
      </c>
      <c r="N412" s="13">
        <f>((3391+6641)/G$3)*G412</f>
        <v>10032</v>
      </c>
      <c r="P412" s="13">
        <f>SUM(H412:O412)</f>
        <v>16082</v>
      </c>
      <c r="Q412" s="12">
        <f>(H412+I412)*12%</f>
        <v>600</v>
      </c>
      <c r="R412" s="12">
        <f>ROUNDUP((P412*1.75%),0)</f>
        <v>282</v>
      </c>
      <c r="S412" s="21">
        <f>+IF(P412&lt;2501,0,IF((P412&gt;2501)*(P412&lt;3500),0,IF((P412&gt;3501)*(P412&lt;7500),0,IF((P412&gt;7501)*(P412&lt;10000),175,200))))</f>
        <v>200</v>
      </c>
      <c r="T412" s="13">
        <v>0</v>
      </c>
      <c r="U412" s="13">
        <f>SUM(Q412:T412)</f>
        <v>1082</v>
      </c>
      <c r="V412" s="13">
        <f>P412-U412</f>
        <v>15000</v>
      </c>
      <c r="X412" s="13">
        <f>V412-W412</f>
        <v>15000</v>
      </c>
      <c r="Y412" s="12">
        <f t="shared" si="177"/>
        <v>657.5</v>
      </c>
      <c r="Z412" s="12">
        <f t="shared" si="173"/>
        <v>764</v>
      </c>
      <c r="AA412" s="1">
        <f>T412*3</f>
        <v>0</v>
      </c>
      <c r="AB412" s="16">
        <f>SUM(Y412:AA412)</f>
        <v>1421.5</v>
      </c>
      <c r="AC412" s="16">
        <f>P412+AB412</f>
        <v>17503.5</v>
      </c>
    </row>
    <row r="413" spans="1:29" x14ac:dyDescent="0.2">
      <c r="A413" s="10" t="s">
        <v>908</v>
      </c>
      <c r="B413" s="11">
        <f t="shared" si="178"/>
        <v>408</v>
      </c>
      <c r="C413" s="11" t="s">
        <v>472</v>
      </c>
      <c r="D413" s="11" t="s">
        <v>52</v>
      </c>
      <c r="F413" s="22">
        <v>42901</v>
      </c>
      <c r="G413" s="11">
        <v>30.5</v>
      </c>
      <c r="H413" s="13">
        <f t="shared" ref="H413:H418" si="196">(5000/G$3)*G413</f>
        <v>4919.3548387096771</v>
      </c>
      <c r="I413" s="13">
        <f t="shared" ref="I413:I418" si="197">((0)/G$3)*G413</f>
        <v>0</v>
      </c>
      <c r="J413" s="13">
        <f t="shared" ref="J413:J475" si="198">(H413+I413)*5%</f>
        <v>245.96774193548387</v>
      </c>
      <c r="L413" s="13">
        <f t="shared" ref="L413:L418" si="199">((800)/G$3)*G413</f>
        <v>787.0967741935483</v>
      </c>
      <c r="N413" s="13">
        <f t="shared" ref="N413" si="200">((3391+6641)/G$3)*G413</f>
        <v>9870.1935483870966</v>
      </c>
      <c r="P413" s="13">
        <f t="shared" si="141"/>
        <v>15822.612903225807</v>
      </c>
      <c r="Q413" s="12">
        <f t="shared" ref="Q413:Q418" si="201">(H413+I413)*12%</f>
        <v>590.32258064516122</v>
      </c>
      <c r="R413" s="12">
        <f t="shared" ref="R413:R418" si="202">ROUNDUP((P413*1.75%),0)</f>
        <v>277</v>
      </c>
      <c r="S413" s="21">
        <f t="shared" ref="S413:S418" si="203">+IF(P413&lt;2501,0,IF((P413&gt;2501)*(P413&lt;3500),0,IF((P413&gt;3501)*(P413&lt;7500),0,IF((P413&gt;7501)*(P413&lt;10000),175,200))))</f>
        <v>200</v>
      </c>
      <c r="T413" s="13">
        <v>0</v>
      </c>
      <c r="U413" s="13">
        <f t="shared" ref="U413:U418" si="204">SUM(Q413:T413)</f>
        <v>1067.3225806451612</v>
      </c>
      <c r="V413" s="13">
        <f t="shared" ref="V413:V475" si="205">P413-U413</f>
        <v>14755.290322580646</v>
      </c>
      <c r="X413" s="13">
        <f t="shared" ref="X413:X418" si="206">V413-W413</f>
        <v>14755.290322580646</v>
      </c>
      <c r="Y413" s="12">
        <f t="shared" si="177"/>
        <v>646.89516129032256</v>
      </c>
      <c r="Z413" s="12">
        <f t="shared" si="173"/>
        <v>752</v>
      </c>
      <c r="AA413" s="1">
        <f t="shared" ref="AA413:AA418" si="207">T413*3</f>
        <v>0</v>
      </c>
      <c r="AB413" s="16">
        <f t="shared" ref="AB413:AB418" si="208">SUM(Y413:AA413)</f>
        <v>1398.8951612903224</v>
      </c>
      <c r="AC413" s="16">
        <f t="shared" ref="AC413:AC418" si="209">P413+AB413</f>
        <v>17221.508064516129</v>
      </c>
    </row>
    <row r="414" spans="1:29" x14ac:dyDescent="0.2">
      <c r="A414" s="10" t="s">
        <v>909</v>
      </c>
      <c r="B414" s="11">
        <f t="shared" si="178"/>
        <v>409</v>
      </c>
      <c r="C414" s="11" t="s">
        <v>473</v>
      </c>
      <c r="D414" s="11" t="s">
        <v>52</v>
      </c>
      <c r="F414" s="22">
        <v>42902</v>
      </c>
      <c r="G414" s="11">
        <v>30</v>
      </c>
      <c r="H414" s="13">
        <f t="shared" si="196"/>
        <v>4838.7096774193542</v>
      </c>
      <c r="I414" s="13">
        <f t="shared" si="197"/>
        <v>0</v>
      </c>
      <c r="J414" s="13">
        <f t="shared" si="198"/>
        <v>241.93548387096772</v>
      </c>
      <c r="L414" s="13">
        <f t="shared" si="199"/>
        <v>774.19354838709671</v>
      </c>
      <c r="N414" s="13">
        <f>((3391+509)/G$3)*G414</f>
        <v>3774.1935483870971</v>
      </c>
      <c r="P414" s="13">
        <f t="shared" si="141"/>
        <v>9629.0322580645152</v>
      </c>
      <c r="Q414" s="12">
        <f t="shared" si="201"/>
        <v>580.64516129032245</v>
      </c>
      <c r="R414" s="12">
        <f t="shared" si="202"/>
        <v>169</v>
      </c>
      <c r="S414" s="21">
        <f t="shared" si="203"/>
        <v>175</v>
      </c>
      <c r="T414" s="13">
        <v>0</v>
      </c>
      <c r="U414" s="13">
        <f t="shared" si="204"/>
        <v>924.64516129032245</v>
      </c>
      <c r="V414" s="13">
        <f t="shared" si="205"/>
        <v>8704.3870967741932</v>
      </c>
      <c r="X414" s="13">
        <f t="shared" si="206"/>
        <v>8704.3870967741932</v>
      </c>
      <c r="Y414" s="12">
        <f t="shared" si="177"/>
        <v>636.29032258064512</v>
      </c>
      <c r="Z414" s="12">
        <f t="shared" si="173"/>
        <v>458</v>
      </c>
      <c r="AA414" s="1">
        <f t="shared" si="207"/>
        <v>0</v>
      </c>
      <c r="AB414" s="16">
        <f t="shared" si="208"/>
        <v>1094.2903225806451</v>
      </c>
      <c r="AC414" s="16">
        <f t="shared" si="209"/>
        <v>10723.322580645161</v>
      </c>
    </row>
    <row r="415" spans="1:29" x14ac:dyDescent="0.2">
      <c r="A415" s="10" t="s">
        <v>315</v>
      </c>
      <c r="B415" s="11">
        <f t="shared" si="178"/>
        <v>410</v>
      </c>
      <c r="C415" s="11" t="s">
        <v>942</v>
      </c>
      <c r="D415" s="11" t="s">
        <v>52</v>
      </c>
      <c r="F415" s="22">
        <v>42954</v>
      </c>
      <c r="G415" s="11">
        <v>24</v>
      </c>
      <c r="H415" s="13">
        <f t="shared" si="196"/>
        <v>3870.9677419354839</v>
      </c>
      <c r="I415" s="13">
        <f t="shared" si="197"/>
        <v>0</v>
      </c>
      <c r="J415" s="13">
        <f t="shared" si="198"/>
        <v>193.54838709677421</v>
      </c>
      <c r="L415" s="13">
        <f t="shared" si="199"/>
        <v>619.35483870967732</v>
      </c>
      <c r="N415" s="13">
        <f>((3391+6132)/G$3)*G415</f>
        <v>7372.645161290322</v>
      </c>
      <c r="P415" s="13">
        <f t="shared" si="141"/>
        <v>12056.516129032258</v>
      </c>
      <c r="Q415" s="12">
        <f t="shared" si="201"/>
        <v>464.51612903225805</v>
      </c>
      <c r="R415" s="12">
        <f t="shared" si="202"/>
        <v>211</v>
      </c>
      <c r="S415" s="21">
        <f t="shared" si="203"/>
        <v>200</v>
      </c>
      <c r="T415" s="13">
        <v>0</v>
      </c>
      <c r="U415" s="13">
        <f t="shared" si="204"/>
        <v>875.51612903225805</v>
      </c>
      <c r="V415" s="13">
        <f t="shared" si="205"/>
        <v>11181</v>
      </c>
      <c r="X415" s="13">
        <f t="shared" si="206"/>
        <v>11181</v>
      </c>
      <c r="Y415" s="12">
        <f t="shared" si="177"/>
        <v>509.03225806451616</v>
      </c>
      <c r="Z415" s="12">
        <f t="shared" si="173"/>
        <v>573</v>
      </c>
      <c r="AA415" s="1">
        <f t="shared" si="207"/>
        <v>0</v>
      </c>
      <c r="AB415" s="16">
        <f t="shared" si="208"/>
        <v>1082.0322580645161</v>
      </c>
      <c r="AC415" s="16">
        <f t="shared" si="209"/>
        <v>13138.548387096773</v>
      </c>
    </row>
    <row r="416" spans="1:29" x14ac:dyDescent="0.2">
      <c r="A416" s="10" t="s">
        <v>315</v>
      </c>
      <c r="B416" s="11">
        <f t="shared" si="178"/>
        <v>411</v>
      </c>
      <c r="C416" s="11" t="s">
        <v>943</v>
      </c>
      <c r="D416" s="11" t="s">
        <v>52</v>
      </c>
      <c r="F416" s="22">
        <v>42958</v>
      </c>
      <c r="G416" s="11">
        <v>20</v>
      </c>
      <c r="H416" s="13">
        <f t="shared" si="196"/>
        <v>3225.8064516129029</v>
      </c>
      <c r="I416" s="13">
        <f t="shared" si="197"/>
        <v>0</v>
      </c>
      <c r="J416" s="13">
        <f t="shared" si="198"/>
        <v>161.29032258064515</v>
      </c>
      <c r="L416" s="13">
        <f t="shared" si="199"/>
        <v>516.12903225806451</v>
      </c>
      <c r="N416" s="13">
        <f>((3391)/G$3)*G416</f>
        <v>2187.7419354838712</v>
      </c>
      <c r="P416" s="13">
        <f t="shared" si="141"/>
        <v>6090.9677419354839</v>
      </c>
      <c r="Q416" s="12">
        <f t="shared" si="201"/>
        <v>387.09677419354836</v>
      </c>
      <c r="R416" s="12">
        <f t="shared" si="202"/>
        <v>107</v>
      </c>
      <c r="S416" s="21">
        <f t="shared" si="203"/>
        <v>0</v>
      </c>
      <c r="T416" s="13">
        <v>0</v>
      </c>
      <c r="U416" s="13">
        <f t="shared" si="204"/>
        <v>494.09677419354836</v>
      </c>
      <c r="V416" s="13">
        <f t="shared" si="205"/>
        <v>5596.8709677419356</v>
      </c>
      <c r="X416" s="13">
        <f t="shared" si="206"/>
        <v>5596.8709677419356</v>
      </c>
      <c r="Y416" s="12">
        <f t="shared" si="177"/>
        <v>424.19354838709677</v>
      </c>
      <c r="Z416" s="12">
        <f t="shared" si="173"/>
        <v>290</v>
      </c>
      <c r="AA416" s="1">
        <f t="shared" si="207"/>
        <v>0</v>
      </c>
      <c r="AB416" s="16">
        <f t="shared" si="208"/>
        <v>714.19354838709683</v>
      </c>
      <c r="AC416" s="16">
        <f t="shared" si="209"/>
        <v>6805.1612903225805</v>
      </c>
    </row>
    <row r="417" spans="1:29" x14ac:dyDescent="0.2">
      <c r="A417" s="10" t="s">
        <v>315</v>
      </c>
      <c r="B417" s="11">
        <f t="shared" si="178"/>
        <v>412</v>
      </c>
      <c r="C417" s="11" t="s">
        <v>944</v>
      </c>
      <c r="D417" s="11" t="s">
        <v>52</v>
      </c>
      <c r="F417" s="22">
        <v>42957</v>
      </c>
      <c r="G417" s="11">
        <v>21</v>
      </c>
      <c r="H417" s="13">
        <f t="shared" si="196"/>
        <v>3387.0967741935483</v>
      </c>
      <c r="I417" s="13">
        <f t="shared" si="197"/>
        <v>0</v>
      </c>
      <c r="J417" s="13">
        <f t="shared" si="198"/>
        <v>169.35483870967744</v>
      </c>
      <c r="L417" s="13">
        <f t="shared" si="199"/>
        <v>541.93548387096769</v>
      </c>
      <c r="N417" s="13">
        <f>((3900)/G$3)*G417</f>
        <v>2641.9354838709678</v>
      </c>
      <c r="P417" s="13">
        <f t="shared" si="141"/>
        <v>6740.322580645161</v>
      </c>
      <c r="Q417" s="12">
        <f t="shared" si="201"/>
        <v>406.45161290322579</v>
      </c>
      <c r="R417" s="12">
        <f t="shared" si="202"/>
        <v>118</v>
      </c>
      <c r="S417" s="21">
        <f t="shared" si="203"/>
        <v>0</v>
      </c>
      <c r="T417" s="13">
        <v>0</v>
      </c>
      <c r="U417" s="13">
        <f t="shared" si="204"/>
        <v>524.45161290322585</v>
      </c>
      <c r="V417" s="13">
        <f t="shared" si="205"/>
        <v>6215.8709677419356</v>
      </c>
      <c r="X417" s="13">
        <f t="shared" si="206"/>
        <v>6215.8709677419356</v>
      </c>
      <c r="Y417" s="12">
        <f t="shared" si="177"/>
        <v>445.40322580645164</v>
      </c>
      <c r="Z417" s="12">
        <f t="shared" si="173"/>
        <v>321</v>
      </c>
      <c r="AA417" s="1">
        <f t="shared" si="207"/>
        <v>0</v>
      </c>
      <c r="AB417" s="16">
        <f t="shared" si="208"/>
        <v>766.4032258064517</v>
      </c>
      <c r="AC417" s="16">
        <f t="shared" si="209"/>
        <v>7506.7258064516127</v>
      </c>
    </row>
    <row r="418" spans="1:29" x14ac:dyDescent="0.2">
      <c r="A418" s="10" t="s">
        <v>315</v>
      </c>
      <c r="B418" s="11">
        <f t="shared" si="178"/>
        <v>413</v>
      </c>
      <c r="C418" s="11" t="s">
        <v>945</v>
      </c>
      <c r="D418" s="11" t="s">
        <v>52</v>
      </c>
      <c r="F418" s="22">
        <v>42963</v>
      </c>
      <c r="G418" s="11">
        <v>14</v>
      </c>
      <c r="H418" s="13">
        <f t="shared" si="196"/>
        <v>2258.0645161290322</v>
      </c>
      <c r="I418" s="13">
        <f t="shared" si="197"/>
        <v>0</v>
      </c>
      <c r="J418" s="13">
        <f t="shared" si="198"/>
        <v>112.90322580645162</v>
      </c>
      <c r="L418" s="13">
        <f t="shared" si="199"/>
        <v>361.29032258064512</v>
      </c>
      <c r="N418" s="13">
        <f>((3391+7150)/G$3)*G418</f>
        <v>4760.4516129032263</v>
      </c>
      <c r="P418" s="13">
        <f t="shared" si="141"/>
        <v>7492.7096774193551</v>
      </c>
      <c r="Q418" s="12">
        <f t="shared" si="201"/>
        <v>270.96774193548384</v>
      </c>
      <c r="R418" s="12">
        <f t="shared" si="202"/>
        <v>132</v>
      </c>
      <c r="S418" s="21">
        <f t="shared" si="203"/>
        <v>0</v>
      </c>
      <c r="T418" s="13">
        <v>0</v>
      </c>
      <c r="U418" s="13">
        <f t="shared" si="204"/>
        <v>402.96774193548384</v>
      </c>
      <c r="V418" s="13">
        <f t="shared" si="205"/>
        <v>7089.7419354838712</v>
      </c>
      <c r="X418" s="13">
        <f t="shared" si="206"/>
        <v>7089.7419354838712</v>
      </c>
      <c r="Y418" s="12">
        <f t="shared" si="177"/>
        <v>296.93548387096774</v>
      </c>
      <c r="Z418" s="12">
        <f t="shared" si="173"/>
        <v>356</v>
      </c>
      <c r="AA418" s="1">
        <f t="shared" si="207"/>
        <v>0</v>
      </c>
      <c r="AB418" s="16">
        <f t="shared" si="208"/>
        <v>652.9354838709678</v>
      </c>
      <c r="AC418" s="16">
        <f t="shared" si="209"/>
        <v>8145.6451612903229</v>
      </c>
    </row>
    <row r="419" spans="1:29" x14ac:dyDescent="0.2">
      <c r="A419" s="10" t="s">
        <v>94</v>
      </c>
      <c r="B419" s="11">
        <f t="shared" si="178"/>
        <v>414</v>
      </c>
      <c r="C419" s="11" t="s">
        <v>75</v>
      </c>
      <c r="D419" s="11" t="s">
        <v>67</v>
      </c>
      <c r="F419" s="20">
        <v>42491</v>
      </c>
      <c r="G419" s="11">
        <v>34</v>
      </c>
      <c r="H419" s="13">
        <f t="shared" si="170"/>
        <v>5483.8709677419356</v>
      </c>
      <c r="I419" s="13">
        <f t="shared" si="175"/>
        <v>0</v>
      </c>
      <c r="J419" s="13">
        <f t="shared" si="198"/>
        <v>274.19354838709677</v>
      </c>
      <c r="L419" s="13">
        <f t="shared" si="180"/>
        <v>877.41935483870964</v>
      </c>
      <c r="N419" s="13">
        <f>((1950+2000+1502)/G$3)*G419</f>
        <v>5979.6129032258068</v>
      </c>
      <c r="P419" s="13">
        <f t="shared" si="141"/>
        <v>12615.096774193549</v>
      </c>
      <c r="Q419" s="12">
        <f t="shared" si="171"/>
        <v>658.0645161290322</v>
      </c>
      <c r="R419" s="12">
        <f t="shared" si="182"/>
        <v>221</v>
      </c>
      <c r="S419" s="21">
        <f t="shared" si="181"/>
        <v>200</v>
      </c>
      <c r="T419" s="13">
        <v>0</v>
      </c>
      <c r="U419" s="13">
        <f t="shared" ref="U419" si="210">SUM(Q419:T419)</f>
        <v>1079.0645161290322</v>
      </c>
      <c r="V419" s="13">
        <f t="shared" si="205"/>
        <v>11536.032258064517</v>
      </c>
      <c r="X419" s="13">
        <f t="shared" si="187"/>
        <v>11536.032258064517</v>
      </c>
      <c r="Y419" s="12">
        <f t="shared" si="177"/>
        <v>721.12903225806451</v>
      </c>
      <c r="Z419" s="12">
        <f t="shared" si="173"/>
        <v>600</v>
      </c>
      <c r="AA419" s="1">
        <f t="shared" si="188"/>
        <v>0</v>
      </c>
      <c r="AB419" s="16">
        <f t="shared" ref="AB419" si="211">SUM(Y419:AA419)</f>
        <v>1321.1290322580644</v>
      </c>
      <c r="AC419" s="16">
        <f t="shared" si="186"/>
        <v>13936.225806451614</v>
      </c>
    </row>
    <row r="420" spans="1:29" x14ac:dyDescent="0.2">
      <c r="A420" s="10" t="s">
        <v>131</v>
      </c>
      <c r="B420" s="11">
        <f t="shared" si="178"/>
        <v>415</v>
      </c>
      <c r="C420" s="11" t="s">
        <v>266</v>
      </c>
      <c r="D420" s="11" t="s">
        <v>67</v>
      </c>
      <c r="F420" s="22">
        <v>42637</v>
      </c>
      <c r="G420" s="11">
        <v>34</v>
      </c>
      <c r="H420" s="13">
        <f t="shared" si="170"/>
        <v>5483.8709677419356</v>
      </c>
      <c r="I420" s="13">
        <f t="shared" si="175"/>
        <v>0</v>
      </c>
      <c r="J420" s="13">
        <f t="shared" si="198"/>
        <v>274.19354838709677</v>
      </c>
      <c r="L420" s="13">
        <f t="shared" si="180"/>
        <v>877.41935483870964</v>
      </c>
      <c r="N420" s="13">
        <f t="shared" ref="N420:N446" si="212">((1950+2000)/G$3)*G420</f>
        <v>4332.2580645161288</v>
      </c>
      <c r="P420" s="13">
        <f t="shared" ref="P420:P441" si="213">SUM(H420:O420)</f>
        <v>10967.741935483871</v>
      </c>
      <c r="Q420" s="12">
        <f t="shared" si="171"/>
        <v>658.0645161290322</v>
      </c>
      <c r="R420" s="12">
        <f t="shared" si="182"/>
        <v>192</v>
      </c>
      <c r="S420" s="21">
        <f t="shared" si="181"/>
        <v>200</v>
      </c>
      <c r="T420" s="13">
        <v>0</v>
      </c>
      <c r="U420" s="13">
        <f t="shared" ref="U420" si="214">SUM(Q420:T420)</f>
        <v>1050.0645161290322</v>
      </c>
      <c r="V420" s="13">
        <f t="shared" si="205"/>
        <v>9917.677419354839</v>
      </c>
      <c r="X420" s="13">
        <f t="shared" si="187"/>
        <v>9917.677419354839</v>
      </c>
      <c r="Y420" s="12">
        <f t="shared" si="177"/>
        <v>721.12903225806451</v>
      </c>
      <c r="Z420" s="12">
        <f t="shared" si="173"/>
        <v>521</v>
      </c>
      <c r="AA420" s="1">
        <f t="shared" si="188"/>
        <v>0</v>
      </c>
      <c r="AB420" s="16">
        <f t="shared" ref="AB420" si="215">SUM(Y420:AA420)</f>
        <v>1242.1290322580644</v>
      </c>
      <c r="AC420" s="16">
        <f t="shared" si="186"/>
        <v>12209.870967741936</v>
      </c>
    </row>
    <row r="421" spans="1:29" x14ac:dyDescent="0.2">
      <c r="A421" s="10" t="s">
        <v>144</v>
      </c>
      <c r="B421" s="11">
        <f t="shared" si="178"/>
        <v>416</v>
      </c>
      <c r="C421" s="11" t="s">
        <v>130</v>
      </c>
      <c r="D421" s="11" t="s">
        <v>67</v>
      </c>
      <c r="F421" s="22">
        <v>42644</v>
      </c>
      <c r="G421" s="11">
        <v>33</v>
      </c>
      <c r="H421" s="13">
        <f t="shared" si="170"/>
        <v>5322.5806451612898</v>
      </c>
      <c r="I421" s="13">
        <f t="shared" si="175"/>
        <v>0</v>
      </c>
      <c r="J421" s="13">
        <f t="shared" si="198"/>
        <v>266.12903225806451</v>
      </c>
      <c r="L421" s="13">
        <f t="shared" si="180"/>
        <v>851.61290322580635</v>
      </c>
      <c r="N421" s="13">
        <f t="shared" si="212"/>
        <v>4204.8387096774195</v>
      </c>
      <c r="P421" s="13">
        <f t="shared" si="213"/>
        <v>10645.16129032258</v>
      </c>
      <c r="Q421" s="12">
        <f t="shared" si="171"/>
        <v>638.70967741935476</v>
      </c>
      <c r="R421" s="12">
        <f t="shared" si="182"/>
        <v>187</v>
      </c>
      <c r="S421" s="21">
        <f t="shared" si="181"/>
        <v>200</v>
      </c>
      <c r="T421" s="13">
        <v>0</v>
      </c>
      <c r="U421" s="13">
        <f t="shared" ref="U421" si="216">SUM(Q421:T421)</f>
        <v>1025.7096774193546</v>
      </c>
      <c r="V421" s="13">
        <f t="shared" si="205"/>
        <v>9619.4516129032254</v>
      </c>
      <c r="X421" s="13">
        <f t="shared" si="187"/>
        <v>9619.4516129032254</v>
      </c>
      <c r="Y421" s="12">
        <f t="shared" si="177"/>
        <v>699.91935483870964</v>
      </c>
      <c r="Z421" s="12">
        <f t="shared" si="173"/>
        <v>506</v>
      </c>
      <c r="AA421" s="1">
        <f t="shared" si="188"/>
        <v>0</v>
      </c>
      <c r="AB421" s="16">
        <f t="shared" ref="AB421" si="217">SUM(Y421:AA421)</f>
        <v>1205.9193548387098</v>
      </c>
      <c r="AC421" s="16">
        <f t="shared" si="186"/>
        <v>11851.08064516129</v>
      </c>
    </row>
    <row r="422" spans="1:29" x14ac:dyDescent="0.2">
      <c r="A422" s="10" t="s">
        <v>167</v>
      </c>
      <c r="B422" s="11">
        <f t="shared" si="178"/>
        <v>417</v>
      </c>
      <c r="C422" s="11" t="s">
        <v>684</v>
      </c>
      <c r="D422" s="11" t="s">
        <v>67</v>
      </c>
      <c r="F422" s="22">
        <v>42681</v>
      </c>
      <c r="G422" s="11">
        <v>36</v>
      </c>
      <c r="H422" s="13">
        <f t="shared" si="170"/>
        <v>5806.4516129032254</v>
      </c>
      <c r="I422" s="13">
        <f t="shared" si="175"/>
        <v>0</v>
      </c>
      <c r="J422" s="13">
        <f t="shared" si="198"/>
        <v>290.32258064516128</v>
      </c>
      <c r="L422" s="13">
        <f t="shared" si="180"/>
        <v>929.0322580645161</v>
      </c>
      <c r="N422" s="13">
        <f t="shared" si="212"/>
        <v>4587.0967741935483</v>
      </c>
      <c r="P422" s="13">
        <f t="shared" si="213"/>
        <v>11612.903225806451</v>
      </c>
      <c r="Q422" s="12">
        <f t="shared" si="171"/>
        <v>696.77419354838707</v>
      </c>
      <c r="R422" s="12">
        <f t="shared" si="182"/>
        <v>204</v>
      </c>
      <c r="S422" s="21">
        <f t="shared" si="181"/>
        <v>200</v>
      </c>
      <c r="T422" s="13">
        <v>0</v>
      </c>
      <c r="U422" s="13">
        <f t="shared" ref="U422:U423" si="218">SUM(Q422:T422)</f>
        <v>1100.7741935483871</v>
      </c>
      <c r="V422" s="13">
        <f t="shared" si="205"/>
        <v>10512.129032258064</v>
      </c>
      <c r="X422" s="13">
        <f t="shared" si="187"/>
        <v>10512.129032258064</v>
      </c>
      <c r="Y422" s="12">
        <f t="shared" si="177"/>
        <v>763.54838709677415</v>
      </c>
      <c r="Z422" s="12">
        <f t="shared" si="173"/>
        <v>552</v>
      </c>
      <c r="AA422" s="1">
        <f t="shared" si="188"/>
        <v>0</v>
      </c>
      <c r="AB422" s="16">
        <f t="shared" ref="AB422:AB423" si="219">SUM(Y422:AA422)</f>
        <v>1315.5483870967741</v>
      </c>
      <c r="AC422" s="16">
        <f t="shared" si="186"/>
        <v>12928.451612903225</v>
      </c>
    </row>
    <row r="423" spans="1:29" x14ac:dyDescent="0.2">
      <c r="A423" s="10" t="s">
        <v>168</v>
      </c>
      <c r="B423" s="11">
        <f t="shared" si="178"/>
        <v>418</v>
      </c>
      <c r="C423" s="11" t="s">
        <v>139</v>
      </c>
      <c r="D423" s="11" t="s">
        <v>67</v>
      </c>
      <c r="F423" s="22">
        <v>42682</v>
      </c>
      <c r="G423" s="11">
        <v>35</v>
      </c>
      <c r="H423" s="13">
        <f t="shared" si="170"/>
        <v>5645.1612903225805</v>
      </c>
      <c r="I423" s="13">
        <f t="shared" si="175"/>
        <v>0</v>
      </c>
      <c r="J423" s="13">
        <f t="shared" si="198"/>
        <v>282.25806451612902</v>
      </c>
      <c r="L423" s="13">
        <f t="shared" si="180"/>
        <v>903.22580645161281</v>
      </c>
      <c r="N423" s="13">
        <f t="shared" si="212"/>
        <v>4459.677419354839</v>
      </c>
      <c r="P423" s="13">
        <f t="shared" si="213"/>
        <v>11290.322580645161</v>
      </c>
      <c r="Q423" s="12">
        <f t="shared" si="171"/>
        <v>677.41935483870964</v>
      </c>
      <c r="R423" s="12">
        <f t="shared" si="182"/>
        <v>198</v>
      </c>
      <c r="S423" s="21">
        <f t="shared" si="181"/>
        <v>200</v>
      </c>
      <c r="T423" s="13">
        <v>0</v>
      </c>
      <c r="U423" s="13">
        <f t="shared" si="218"/>
        <v>1075.4193548387098</v>
      </c>
      <c r="V423" s="13">
        <f t="shared" si="205"/>
        <v>10214.903225806451</v>
      </c>
      <c r="X423" s="13">
        <f t="shared" si="187"/>
        <v>10214.903225806451</v>
      </c>
      <c r="Y423" s="12">
        <f t="shared" si="177"/>
        <v>742.33870967741939</v>
      </c>
      <c r="Z423" s="12">
        <f t="shared" si="173"/>
        <v>537</v>
      </c>
      <c r="AA423" s="1">
        <f t="shared" si="188"/>
        <v>0</v>
      </c>
      <c r="AB423" s="16">
        <f t="shared" si="219"/>
        <v>1279.3387096774195</v>
      </c>
      <c r="AC423" s="16">
        <f t="shared" si="186"/>
        <v>12569.66129032258</v>
      </c>
    </row>
    <row r="424" spans="1:29" x14ac:dyDescent="0.2">
      <c r="A424" s="10" t="s">
        <v>191</v>
      </c>
      <c r="B424" s="11">
        <f t="shared" si="178"/>
        <v>419</v>
      </c>
      <c r="C424" s="11" t="s">
        <v>317</v>
      </c>
      <c r="D424" s="11" t="s">
        <v>67</v>
      </c>
      <c r="F424" s="22">
        <v>42705</v>
      </c>
      <c r="G424" s="11">
        <v>36</v>
      </c>
      <c r="H424" s="13">
        <f t="shared" si="170"/>
        <v>5806.4516129032254</v>
      </c>
      <c r="I424" s="13">
        <f t="shared" si="175"/>
        <v>0</v>
      </c>
      <c r="J424" s="13">
        <f t="shared" si="198"/>
        <v>290.32258064516128</v>
      </c>
      <c r="L424" s="13">
        <f t="shared" si="180"/>
        <v>929.0322580645161</v>
      </c>
      <c r="N424" s="13">
        <f t="shared" si="212"/>
        <v>4587.0967741935483</v>
      </c>
      <c r="P424" s="13">
        <f t="shared" si="213"/>
        <v>11612.903225806451</v>
      </c>
      <c r="Q424" s="12">
        <f t="shared" si="171"/>
        <v>696.77419354838707</v>
      </c>
      <c r="R424" s="12">
        <f t="shared" si="182"/>
        <v>204</v>
      </c>
      <c r="S424" s="21">
        <f t="shared" si="181"/>
        <v>200</v>
      </c>
      <c r="T424" s="13">
        <v>0</v>
      </c>
      <c r="U424" s="13">
        <f t="shared" ref="U424:U426" si="220">SUM(Q424:T424)</f>
        <v>1100.7741935483871</v>
      </c>
      <c r="V424" s="13">
        <f t="shared" si="205"/>
        <v>10512.129032258064</v>
      </c>
      <c r="X424" s="13">
        <f t="shared" si="187"/>
        <v>10512.129032258064</v>
      </c>
      <c r="Y424" s="12">
        <f t="shared" si="177"/>
        <v>763.54838709677415</v>
      </c>
      <c r="Z424" s="12">
        <f t="shared" si="173"/>
        <v>552</v>
      </c>
      <c r="AA424" s="1">
        <f t="shared" si="188"/>
        <v>0</v>
      </c>
      <c r="AB424" s="16">
        <f t="shared" ref="AB424:AB430" si="221">SUM(Y424:AA424)</f>
        <v>1315.5483870967741</v>
      </c>
      <c r="AC424" s="16">
        <f t="shared" si="186"/>
        <v>12928.451612903225</v>
      </c>
    </row>
    <row r="425" spans="1:29" x14ac:dyDescent="0.2">
      <c r="A425" s="10" t="s">
        <v>192</v>
      </c>
      <c r="B425" s="11">
        <f t="shared" si="178"/>
        <v>420</v>
      </c>
      <c r="C425" s="11" t="s">
        <v>156</v>
      </c>
      <c r="D425" s="11" t="s">
        <v>67</v>
      </c>
      <c r="F425" s="22">
        <v>42705</v>
      </c>
      <c r="G425" s="11">
        <v>35</v>
      </c>
      <c r="H425" s="13">
        <f t="shared" si="170"/>
        <v>5645.1612903225805</v>
      </c>
      <c r="I425" s="13">
        <f t="shared" si="175"/>
        <v>0</v>
      </c>
      <c r="J425" s="13">
        <f t="shared" si="198"/>
        <v>282.25806451612902</v>
      </c>
      <c r="L425" s="13">
        <f t="shared" si="180"/>
        <v>903.22580645161281</v>
      </c>
      <c r="N425" s="13">
        <f t="shared" si="212"/>
        <v>4459.677419354839</v>
      </c>
      <c r="P425" s="13">
        <f t="shared" si="213"/>
        <v>11290.322580645161</v>
      </c>
      <c r="Q425" s="12">
        <f t="shared" si="171"/>
        <v>677.41935483870964</v>
      </c>
      <c r="R425" s="12">
        <f t="shared" si="182"/>
        <v>198</v>
      </c>
      <c r="S425" s="21">
        <f t="shared" si="181"/>
        <v>200</v>
      </c>
      <c r="T425" s="13">
        <v>0</v>
      </c>
      <c r="U425" s="13">
        <f t="shared" si="220"/>
        <v>1075.4193548387098</v>
      </c>
      <c r="V425" s="13">
        <f t="shared" si="205"/>
        <v>10214.903225806451</v>
      </c>
      <c r="X425" s="13">
        <f t="shared" si="187"/>
        <v>10214.903225806451</v>
      </c>
      <c r="Y425" s="12">
        <f t="shared" si="177"/>
        <v>742.33870967741939</v>
      </c>
      <c r="Z425" s="12">
        <f t="shared" si="173"/>
        <v>537</v>
      </c>
      <c r="AA425" s="1">
        <f t="shared" si="188"/>
        <v>0</v>
      </c>
      <c r="AB425" s="16">
        <f t="shared" si="221"/>
        <v>1279.3387096774195</v>
      </c>
      <c r="AC425" s="16">
        <f t="shared" si="186"/>
        <v>12569.66129032258</v>
      </c>
    </row>
    <row r="426" spans="1:29" x14ac:dyDescent="0.2">
      <c r="A426" s="10" t="s">
        <v>193</v>
      </c>
      <c r="B426" s="11">
        <f t="shared" si="178"/>
        <v>421</v>
      </c>
      <c r="C426" s="11" t="s">
        <v>157</v>
      </c>
      <c r="D426" s="11" t="s">
        <v>67</v>
      </c>
      <c r="F426" s="22">
        <v>42705</v>
      </c>
      <c r="G426" s="11">
        <v>37</v>
      </c>
      <c r="H426" s="13">
        <f t="shared" si="170"/>
        <v>5967.7419354838703</v>
      </c>
      <c r="I426" s="13">
        <f t="shared" si="175"/>
        <v>0</v>
      </c>
      <c r="J426" s="13">
        <f t="shared" si="198"/>
        <v>298.38709677419354</v>
      </c>
      <c r="L426" s="13">
        <f t="shared" si="180"/>
        <v>954.83870967741927</v>
      </c>
      <c r="N426" s="13">
        <f t="shared" si="212"/>
        <v>4714.5161290322585</v>
      </c>
      <c r="P426" s="13">
        <f t="shared" si="213"/>
        <v>11935.483870967742</v>
      </c>
      <c r="Q426" s="12">
        <f t="shared" si="171"/>
        <v>716.1290322580644</v>
      </c>
      <c r="R426" s="12">
        <f t="shared" si="182"/>
        <v>209</v>
      </c>
      <c r="S426" s="21">
        <f t="shared" si="181"/>
        <v>200</v>
      </c>
      <c r="T426" s="13">
        <v>0</v>
      </c>
      <c r="U426" s="13">
        <f t="shared" si="220"/>
        <v>1125.1290322580644</v>
      </c>
      <c r="V426" s="13">
        <f t="shared" si="205"/>
        <v>10810.354838709678</v>
      </c>
      <c r="X426" s="13">
        <f t="shared" si="187"/>
        <v>10810.354838709678</v>
      </c>
      <c r="Y426" s="12">
        <f t="shared" si="177"/>
        <v>784.75806451612902</v>
      </c>
      <c r="Z426" s="12">
        <f t="shared" si="173"/>
        <v>567</v>
      </c>
      <c r="AA426" s="1">
        <f t="shared" si="188"/>
        <v>0</v>
      </c>
      <c r="AB426" s="16">
        <f t="shared" si="221"/>
        <v>1351.758064516129</v>
      </c>
      <c r="AC426" s="16">
        <f t="shared" si="186"/>
        <v>13287.241935483871</v>
      </c>
    </row>
    <row r="427" spans="1:29" x14ac:dyDescent="0.2">
      <c r="A427" s="10" t="s">
        <v>284</v>
      </c>
      <c r="B427" s="11">
        <f t="shared" si="178"/>
        <v>422</v>
      </c>
      <c r="C427" s="11" t="s">
        <v>221</v>
      </c>
      <c r="D427" s="11" t="s">
        <v>67</v>
      </c>
      <c r="F427" s="22">
        <v>42767</v>
      </c>
      <c r="G427" s="11">
        <v>36</v>
      </c>
      <c r="H427" s="13">
        <f t="shared" si="170"/>
        <v>5806.4516129032254</v>
      </c>
      <c r="I427" s="13">
        <f t="shared" si="175"/>
        <v>0</v>
      </c>
      <c r="J427" s="13">
        <f t="shared" si="198"/>
        <v>290.32258064516128</v>
      </c>
      <c r="L427" s="13">
        <f t="shared" si="180"/>
        <v>929.0322580645161</v>
      </c>
      <c r="N427" s="13">
        <f t="shared" si="212"/>
        <v>4587.0967741935483</v>
      </c>
      <c r="P427" s="13">
        <f t="shared" si="213"/>
        <v>11612.903225806451</v>
      </c>
      <c r="Q427" s="12">
        <f t="shared" si="171"/>
        <v>696.77419354838707</v>
      </c>
      <c r="R427" s="12">
        <f t="shared" si="182"/>
        <v>204</v>
      </c>
      <c r="S427" s="21">
        <f t="shared" si="181"/>
        <v>200</v>
      </c>
      <c r="T427" s="13">
        <v>0</v>
      </c>
      <c r="U427" s="13">
        <f t="shared" ref="U427:U430" si="222">SUM(Q427:T427)</f>
        <v>1100.7741935483871</v>
      </c>
      <c r="V427" s="13">
        <f t="shared" si="205"/>
        <v>10512.129032258064</v>
      </c>
      <c r="X427" s="13">
        <f t="shared" si="187"/>
        <v>10512.129032258064</v>
      </c>
      <c r="Y427" s="12">
        <f t="shared" si="177"/>
        <v>763.54838709677415</v>
      </c>
      <c r="Z427" s="12">
        <f t="shared" si="173"/>
        <v>552</v>
      </c>
      <c r="AA427" s="1">
        <f t="shared" si="188"/>
        <v>0</v>
      </c>
      <c r="AB427" s="16">
        <f t="shared" si="221"/>
        <v>1315.5483870967741</v>
      </c>
      <c r="AC427" s="16">
        <f t="shared" si="186"/>
        <v>12928.451612903225</v>
      </c>
    </row>
    <row r="428" spans="1:29" x14ac:dyDescent="0.2">
      <c r="A428" s="10" t="s">
        <v>285</v>
      </c>
      <c r="B428" s="11">
        <f t="shared" si="178"/>
        <v>423</v>
      </c>
      <c r="C428" s="11" t="s">
        <v>222</v>
      </c>
      <c r="D428" s="11" t="s">
        <v>67</v>
      </c>
      <c r="F428" s="22">
        <v>42767</v>
      </c>
      <c r="G428" s="11">
        <v>16</v>
      </c>
      <c r="H428" s="13">
        <f t="shared" si="170"/>
        <v>2580.6451612903224</v>
      </c>
      <c r="I428" s="13">
        <f t="shared" si="175"/>
        <v>0</v>
      </c>
      <c r="J428" s="13">
        <f t="shared" si="198"/>
        <v>129.03225806451613</v>
      </c>
      <c r="L428" s="13">
        <f t="shared" si="180"/>
        <v>412.90322580645159</v>
      </c>
      <c r="N428" s="13">
        <f t="shared" si="212"/>
        <v>2038.7096774193549</v>
      </c>
      <c r="P428" s="13">
        <f t="shared" si="213"/>
        <v>5161.2903225806449</v>
      </c>
      <c r="Q428" s="12">
        <f t="shared" si="171"/>
        <v>309.67741935483866</v>
      </c>
      <c r="R428" s="12">
        <f t="shared" si="182"/>
        <v>91</v>
      </c>
      <c r="S428" s="21">
        <f t="shared" si="181"/>
        <v>0</v>
      </c>
      <c r="T428" s="13">
        <v>0</v>
      </c>
      <c r="U428" s="13">
        <f t="shared" si="222"/>
        <v>400.67741935483866</v>
      </c>
      <c r="V428" s="13">
        <f t="shared" si="205"/>
        <v>4760.6129032258059</v>
      </c>
      <c r="X428" s="13">
        <f t="shared" si="187"/>
        <v>4760.6129032258059</v>
      </c>
      <c r="Y428" s="12">
        <f t="shared" si="177"/>
        <v>339.35483870967744</v>
      </c>
      <c r="Z428" s="12">
        <f t="shared" si="173"/>
        <v>246</v>
      </c>
      <c r="AA428" s="1">
        <f t="shared" si="188"/>
        <v>0</v>
      </c>
      <c r="AB428" s="16">
        <f t="shared" si="221"/>
        <v>585.35483870967744</v>
      </c>
      <c r="AC428" s="16">
        <f t="shared" si="186"/>
        <v>5746.645161290322</v>
      </c>
    </row>
    <row r="429" spans="1:29" x14ac:dyDescent="0.2">
      <c r="A429" s="10" t="s">
        <v>286</v>
      </c>
      <c r="B429" s="11">
        <f t="shared" si="178"/>
        <v>424</v>
      </c>
      <c r="C429" s="11" t="s">
        <v>223</v>
      </c>
      <c r="D429" s="11" t="s">
        <v>67</v>
      </c>
      <c r="F429" s="22">
        <v>42767</v>
      </c>
      <c r="G429" s="11">
        <v>31</v>
      </c>
      <c r="H429" s="13">
        <f t="shared" si="170"/>
        <v>5000</v>
      </c>
      <c r="I429" s="13">
        <f t="shared" si="175"/>
        <v>0</v>
      </c>
      <c r="J429" s="13">
        <f t="shared" si="198"/>
        <v>250</v>
      </c>
      <c r="L429" s="13">
        <f t="shared" si="180"/>
        <v>800</v>
      </c>
      <c r="N429" s="13">
        <f t="shared" si="212"/>
        <v>3950</v>
      </c>
      <c r="P429" s="13">
        <f t="shared" si="213"/>
        <v>10000</v>
      </c>
      <c r="Q429" s="12">
        <f t="shared" si="171"/>
        <v>600</v>
      </c>
      <c r="R429" s="12">
        <f t="shared" si="182"/>
        <v>175</v>
      </c>
      <c r="S429" s="21">
        <f t="shared" si="181"/>
        <v>200</v>
      </c>
      <c r="T429" s="13">
        <v>0</v>
      </c>
      <c r="U429" s="13">
        <f t="shared" si="222"/>
        <v>975</v>
      </c>
      <c r="V429" s="13">
        <f t="shared" si="205"/>
        <v>9025</v>
      </c>
      <c r="X429" s="13">
        <f t="shared" si="187"/>
        <v>9025</v>
      </c>
      <c r="Y429" s="12">
        <f t="shared" si="177"/>
        <v>657.5</v>
      </c>
      <c r="Z429" s="12">
        <f t="shared" si="173"/>
        <v>475</v>
      </c>
      <c r="AA429" s="1">
        <f t="shared" si="188"/>
        <v>0</v>
      </c>
      <c r="AB429" s="16">
        <f t="shared" si="221"/>
        <v>1132.5</v>
      </c>
      <c r="AC429" s="16">
        <f t="shared" si="186"/>
        <v>11132.5</v>
      </c>
    </row>
    <row r="430" spans="1:29" x14ac:dyDescent="0.2">
      <c r="A430" s="10" t="s">
        <v>287</v>
      </c>
      <c r="B430" s="11">
        <f t="shared" si="178"/>
        <v>425</v>
      </c>
      <c r="C430" s="11" t="s">
        <v>224</v>
      </c>
      <c r="D430" s="11" t="s">
        <v>67</v>
      </c>
      <c r="F430" s="22">
        <v>42767</v>
      </c>
      <c r="G430" s="11">
        <v>31</v>
      </c>
      <c r="H430" s="13">
        <f t="shared" si="170"/>
        <v>5000</v>
      </c>
      <c r="I430" s="13">
        <f t="shared" si="175"/>
        <v>0</v>
      </c>
      <c r="J430" s="13">
        <f t="shared" si="198"/>
        <v>250</v>
      </c>
      <c r="L430" s="13">
        <f t="shared" si="180"/>
        <v>800</v>
      </c>
      <c r="N430" s="13">
        <f t="shared" si="212"/>
        <v>3950</v>
      </c>
      <c r="P430" s="13">
        <f t="shared" si="213"/>
        <v>10000</v>
      </c>
      <c r="Q430" s="12">
        <f t="shared" si="171"/>
        <v>600</v>
      </c>
      <c r="R430" s="12">
        <f t="shared" si="182"/>
        <v>175</v>
      </c>
      <c r="S430" s="21">
        <f t="shared" si="181"/>
        <v>200</v>
      </c>
      <c r="T430" s="13">
        <v>0</v>
      </c>
      <c r="U430" s="13">
        <f t="shared" si="222"/>
        <v>975</v>
      </c>
      <c r="V430" s="13">
        <f t="shared" si="205"/>
        <v>9025</v>
      </c>
      <c r="X430" s="13">
        <f t="shared" si="187"/>
        <v>9025</v>
      </c>
      <c r="Y430" s="12">
        <f t="shared" si="177"/>
        <v>657.5</v>
      </c>
      <c r="Z430" s="12">
        <f t="shared" si="173"/>
        <v>475</v>
      </c>
      <c r="AA430" s="1">
        <f t="shared" si="188"/>
        <v>0</v>
      </c>
      <c r="AB430" s="16">
        <f t="shared" si="221"/>
        <v>1132.5</v>
      </c>
      <c r="AC430" s="16">
        <f t="shared" si="186"/>
        <v>11132.5</v>
      </c>
    </row>
    <row r="431" spans="1:29" x14ac:dyDescent="0.2">
      <c r="A431" s="10" t="s">
        <v>423</v>
      </c>
      <c r="B431" s="11">
        <f t="shared" si="178"/>
        <v>426</v>
      </c>
      <c r="C431" s="11" t="s">
        <v>318</v>
      </c>
      <c r="D431" s="11" t="s">
        <v>67</v>
      </c>
      <c r="F431" s="22">
        <v>42826</v>
      </c>
      <c r="G431" s="11">
        <v>36</v>
      </c>
      <c r="H431" s="13">
        <f t="shared" si="170"/>
        <v>5806.4516129032254</v>
      </c>
      <c r="I431" s="13">
        <f t="shared" si="175"/>
        <v>0</v>
      </c>
      <c r="J431" s="13">
        <f t="shared" si="198"/>
        <v>290.32258064516128</v>
      </c>
      <c r="L431" s="13">
        <f t="shared" si="180"/>
        <v>929.0322580645161</v>
      </c>
      <c r="N431" s="13">
        <f t="shared" si="212"/>
        <v>4587.0967741935483</v>
      </c>
      <c r="P431" s="13">
        <f t="shared" si="213"/>
        <v>11612.903225806451</v>
      </c>
      <c r="Q431" s="12">
        <f t="shared" si="171"/>
        <v>696.77419354838707</v>
      </c>
      <c r="R431" s="12">
        <f t="shared" si="182"/>
        <v>204</v>
      </c>
      <c r="S431" s="21">
        <f t="shared" si="181"/>
        <v>200</v>
      </c>
      <c r="T431" s="13">
        <v>0</v>
      </c>
      <c r="U431" s="13">
        <f t="shared" ref="U431:U475" si="223">SUM(Q431:T431)</f>
        <v>1100.7741935483871</v>
      </c>
      <c r="V431" s="13">
        <f t="shared" si="205"/>
        <v>10512.129032258064</v>
      </c>
      <c r="X431" s="13">
        <f t="shared" si="187"/>
        <v>10512.129032258064</v>
      </c>
      <c r="Y431" s="12">
        <f t="shared" si="177"/>
        <v>763.54838709677415</v>
      </c>
      <c r="Z431" s="12">
        <f t="shared" si="173"/>
        <v>552</v>
      </c>
      <c r="AA431" s="1">
        <f t="shared" si="188"/>
        <v>0</v>
      </c>
      <c r="AB431" s="16">
        <f t="shared" ref="AB431:AB475" si="224">SUM(Y431:AA431)</f>
        <v>1315.5483870967741</v>
      </c>
      <c r="AC431" s="16">
        <f t="shared" si="186"/>
        <v>12928.451612903225</v>
      </c>
    </row>
    <row r="432" spans="1:29" x14ac:dyDescent="0.2">
      <c r="A432" s="10" t="s">
        <v>424</v>
      </c>
      <c r="B432" s="11">
        <f t="shared" si="178"/>
        <v>427</v>
      </c>
      <c r="C432" s="11" t="s">
        <v>319</v>
      </c>
      <c r="D432" s="11" t="s">
        <v>67</v>
      </c>
      <c r="F432" s="22">
        <v>42826</v>
      </c>
      <c r="G432" s="11">
        <v>10</v>
      </c>
      <c r="H432" s="13">
        <f t="shared" si="170"/>
        <v>1612.9032258064515</v>
      </c>
      <c r="I432" s="13">
        <f t="shared" si="175"/>
        <v>0</v>
      </c>
      <c r="J432" s="13">
        <f t="shared" si="198"/>
        <v>80.645161290322577</v>
      </c>
      <c r="L432" s="13">
        <f t="shared" si="180"/>
        <v>258.06451612903226</v>
      </c>
      <c r="N432" s="13">
        <f t="shared" si="212"/>
        <v>1274.1935483870968</v>
      </c>
      <c r="P432" s="13">
        <f t="shared" si="213"/>
        <v>3225.8064516129034</v>
      </c>
      <c r="Q432" s="12">
        <f t="shared" si="171"/>
        <v>193.54838709677418</v>
      </c>
      <c r="R432" s="12">
        <f t="shared" si="182"/>
        <v>57</v>
      </c>
      <c r="S432" s="21">
        <f t="shared" si="181"/>
        <v>0</v>
      </c>
      <c r="T432" s="13">
        <v>0</v>
      </c>
      <c r="U432" s="13">
        <f t="shared" si="223"/>
        <v>250.54838709677418</v>
      </c>
      <c r="V432" s="13">
        <f t="shared" si="205"/>
        <v>2975.2580645161293</v>
      </c>
      <c r="X432" s="13">
        <f t="shared" si="187"/>
        <v>2975.2580645161293</v>
      </c>
      <c r="Y432" s="12">
        <f t="shared" si="177"/>
        <v>212.09677419354838</v>
      </c>
      <c r="Z432" s="12">
        <f t="shared" si="173"/>
        <v>154</v>
      </c>
      <c r="AA432" s="1">
        <f t="shared" si="188"/>
        <v>0</v>
      </c>
      <c r="AB432" s="16">
        <f t="shared" si="224"/>
        <v>366.09677419354841</v>
      </c>
      <c r="AC432" s="16">
        <f t="shared" si="186"/>
        <v>3591.9032258064517</v>
      </c>
    </row>
    <row r="433" spans="1:29" x14ac:dyDescent="0.2">
      <c r="A433" s="10" t="s">
        <v>425</v>
      </c>
      <c r="B433" s="11">
        <f t="shared" si="178"/>
        <v>428</v>
      </c>
      <c r="C433" s="11" t="s">
        <v>320</v>
      </c>
      <c r="D433" s="11" t="s">
        <v>67</v>
      </c>
      <c r="F433" s="22">
        <v>42826</v>
      </c>
      <c r="G433" s="11">
        <v>33</v>
      </c>
      <c r="H433" s="13">
        <f t="shared" si="170"/>
        <v>5322.5806451612898</v>
      </c>
      <c r="I433" s="13">
        <f t="shared" si="175"/>
        <v>0</v>
      </c>
      <c r="J433" s="13">
        <f t="shared" si="198"/>
        <v>266.12903225806451</v>
      </c>
      <c r="L433" s="13">
        <f t="shared" si="180"/>
        <v>851.61290322580635</v>
      </c>
      <c r="N433" s="13">
        <f t="shared" si="212"/>
        <v>4204.8387096774195</v>
      </c>
      <c r="P433" s="13">
        <f t="shared" si="213"/>
        <v>10645.16129032258</v>
      </c>
      <c r="Q433" s="12">
        <f t="shared" si="171"/>
        <v>638.70967741935476</v>
      </c>
      <c r="R433" s="12">
        <f t="shared" si="182"/>
        <v>187</v>
      </c>
      <c r="S433" s="21">
        <f t="shared" si="181"/>
        <v>200</v>
      </c>
      <c r="T433" s="13">
        <v>0</v>
      </c>
      <c r="U433" s="13">
        <f t="shared" si="223"/>
        <v>1025.7096774193546</v>
      </c>
      <c r="V433" s="13">
        <f t="shared" si="205"/>
        <v>9619.4516129032254</v>
      </c>
      <c r="X433" s="13">
        <f t="shared" si="187"/>
        <v>9619.4516129032254</v>
      </c>
      <c r="Y433" s="12">
        <f t="shared" si="177"/>
        <v>699.91935483870964</v>
      </c>
      <c r="Z433" s="12">
        <f t="shared" si="173"/>
        <v>506</v>
      </c>
      <c r="AA433" s="1">
        <f t="shared" si="188"/>
        <v>0</v>
      </c>
      <c r="AB433" s="16">
        <f t="shared" si="224"/>
        <v>1205.9193548387098</v>
      </c>
      <c r="AC433" s="16">
        <f t="shared" si="186"/>
        <v>11851.08064516129</v>
      </c>
    </row>
    <row r="434" spans="1:29" x14ac:dyDescent="0.2">
      <c r="A434" s="10" t="s">
        <v>426</v>
      </c>
      <c r="B434" s="11">
        <f t="shared" si="178"/>
        <v>429</v>
      </c>
      <c r="C434" s="11" t="s">
        <v>321</v>
      </c>
      <c r="D434" s="11" t="s">
        <v>67</v>
      </c>
      <c r="F434" s="22">
        <v>42826</v>
      </c>
      <c r="G434" s="11">
        <v>36</v>
      </c>
      <c r="H434" s="13">
        <f t="shared" si="170"/>
        <v>5806.4516129032254</v>
      </c>
      <c r="I434" s="13">
        <f t="shared" si="175"/>
        <v>0</v>
      </c>
      <c r="J434" s="13">
        <f t="shared" si="198"/>
        <v>290.32258064516128</v>
      </c>
      <c r="L434" s="13">
        <f t="shared" si="180"/>
        <v>929.0322580645161</v>
      </c>
      <c r="N434" s="13">
        <f t="shared" si="212"/>
        <v>4587.0967741935483</v>
      </c>
      <c r="P434" s="13">
        <f t="shared" si="213"/>
        <v>11612.903225806451</v>
      </c>
      <c r="Q434" s="12">
        <f t="shared" si="171"/>
        <v>696.77419354838707</v>
      </c>
      <c r="R434" s="12">
        <f t="shared" si="182"/>
        <v>204</v>
      </c>
      <c r="S434" s="21">
        <f t="shared" si="181"/>
        <v>200</v>
      </c>
      <c r="T434" s="13">
        <v>0</v>
      </c>
      <c r="U434" s="13">
        <f t="shared" si="223"/>
        <v>1100.7741935483871</v>
      </c>
      <c r="V434" s="13">
        <f t="shared" si="205"/>
        <v>10512.129032258064</v>
      </c>
      <c r="X434" s="13">
        <f t="shared" si="187"/>
        <v>10512.129032258064</v>
      </c>
      <c r="Y434" s="12">
        <f t="shared" si="177"/>
        <v>763.54838709677415</v>
      </c>
      <c r="Z434" s="12">
        <f t="shared" si="173"/>
        <v>552</v>
      </c>
      <c r="AA434" s="1">
        <f t="shared" si="188"/>
        <v>0</v>
      </c>
      <c r="AB434" s="16">
        <f t="shared" si="224"/>
        <v>1315.5483870967741</v>
      </c>
      <c r="AC434" s="16">
        <f t="shared" si="186"/>
        <v>12928.451612903225</v>
      </c>
    </row>
    <row r="435" spans="1:29" x14ac:dyDescent="0.2">
      <c r="A435" s="10" t="s">
        <v>651</v>
      </c>
      <c r="B435" s="11">
        <f t="shared" si="178"/>
        <v>430</v>
      </c>
      <c r="C435" s="11" t="s">
        <v>344</v>
      </c>
      <c r="D435" s="11" t="s">
        <v>67</v>
      </c>
      <c r="F435" s="22">
        <v>42856</v>
      </c>
      <c r="G435" s="11">
        <v>7</v>
      </c>
      <c r="H435" s="13">
        <f t="shared" si="170"/>
        <v>1129.0322580645161</v>
      </c>
      <c r="I435" s="13">
        <f t="shared" si="175"/>
        <v>0</v>
      </c>
      <c r="J435" s="13">
        <f t="shared" si="198"/>
        <v>56.451612903225808</v>
      </c>
      <c r="L435" s="13">
        <f t="shared" si="180"/>
        <v>180.64516129032256</v>
      </c>
      <c r="N435" s="13">
        <f t="shared" si="212"/>
        <v>891.9354838709678</v>
      </c>
      <c r="P435" s="13">
        <f t="shared" si="213"/>
        <v>2258.0645161290322</v>
      </c>
      <c r="Q435" s="12">
        <f t="shared" si="171"/>
        <v>135.48387096774192</v>
      </c>
      <c r="R435" s="12">
        <f t="shared" si="182"/>
        <v>40</v>
      </c>
      <c r="S435" s="21">
        <f t="shared" si="181"/>
        <v>0</v>
      </c>
      <c r="T435" s="13">
        <v>0</v>
      </c>
      <c r="U435" s="13">
        <f t="shared" si="223"/>
        <v>175.48387096774192</v>
      </c>
      <c r="V435" s="13">
        <f t="shared" si="205"/>
        <v>2082.5806451612902</v>
      </c>
      <c r="X435" s="13">
        <f t="shared" si="187"/>
        <v>2082.5806451612902</v>
      </c>
      <c r="Y435" s="12">
        <f t="shared" si="177"/>
        <v>148.46774193548387</v>
      </c>
      <c r="Z435" s="12">
        <f t="shared" si="173"/>
        <v>108</v>
      </c>
      <c r="AA435" s="1">
        <f t="shared" si="188"/>
        <v>0</v>
      </c>
      <c r="AB435" s="16">
        <f t="shared" si="224"/>
        <v>256.4677419354839</v>
      </c>
      <c r="AC435" s="16">
        <f t="shared" si="186"/>
        <v>2514.5322580645161</v>
      </c>
    </row>
    <row r="436" spans="1:29" x14ac:dyDescent="0.2">
      <c r="A436" s="10" t="s">
        <v>652</v>
      </c>
      <c r="B436" s="11">
        <f t="shared" si="178"/>
        <v>431</v>
      </c>
      <c r="C436" s="11" t="s">
        <v>345</v>
      </c>
      <c r="D436" s="11" t="s">
        <v>67</v>
      </c>
      <c r="F436" s="22">
        <v>42856</v>
      </c>
      <c r="G436" s="11">
        <v>37</v>
      </c>
      <c r="H436" s="13">
        <f t="shared" si="170"/>
        <v>5967.7419354838703</v>
      </c>
      <c r="I436" s="13">
        <f t="shared" si="175"/>
        <v>0</v>
      </c>
      <c r="J436" s="13">
        <f t="shared" si="198"/>
        <v>298.38709677419354</v>
      </c>
      <c r="L436" s="13">
        <f t="shared" si="180"/>
        <v>954.83870967741927</v>
      </c>
      <c r="N436" s="13">
        <f t="shared" si="212"/>
        <v>4714.5161290322585</v>
      </c>
      <c r="P436" s="13">
        <f t="shared" si="213"/>
        <v>11935.483870967742</v>
      </c>
      <c r="Q436" s="12">
        <f t="shared" si="171"/>
        <v>716.1290322580644</v>
      </c>
      <c r="R436" s="12">
        <f t="shared" si="182"/>
        <v>209</v>
      </c>
      <c r="S436" s="21">
        <f t="shared" si="181"/>
        <v>200</v>
      </c>
      <c r="T436" s="13">
        <v>0</v>
      </c>
      <c r="U436" s="13">
        <f t="shared" si="223"/>
        <v>1125.1290322580644</v>
      </c>
      <c r="V436" s="13">
        <f t="shared" si="205"/>
        <v>10810.354838709678</v>
      </c>
      <c r="X436" s="13">
        <f t="shared" si="187"/>
        <v>10810.354838709678</v>
      </c>
      <c r="Y436" s="12">
        <f t="shared" si="177"/>
        <v>784.75806451612902</v>
      </c>
      <c r="Z436" s="12">
        <f t="shared" si="173"/>
        <v>567</v>
      </c>
      <c r="AA436" s="1">
        <f t="shared" si="188"/>
        <v>0</v>
      </c>
      <c r="AB436" s="16">
        <f t="shared" si="224"/>
        <v>1351.758064516129</v>
      </c>
      <c r="AC436" s="16">
        <f t="shared" si="186"/>
        <v>13287.241935483871</v>
      </c>
    </row>
    <row r="437" spans="1:29" x14ac:dyDescent="0.2">
      <c r="A437" s="10" t="s">
        <v>653</v>
      </c>
      <c r="B437" s="11">
        <f t="shared" si="178"/>
        <v>432</v>
      </c>
      <c r="C437" s="11" t="s">
        <v>346</v>
      </c>
      <c r="D437" s="11" t="s">
        <v>67</v>
      </c>
      <c r="F437" s="22">
        <v>42856</v>
      </c>
      <c r="G437" s="11">
        <v>34</v>
      </c>
      <c r="H437" s="13">
        <f t="shared" si="170"/>
        <v>5483.8709677419356</v>
      </c>
      <c r="I437" s="13">
        <f t="shared" si="175"/>
        <v>0</v>
      </c>
      <c r="J437" s="13">
        <f t="shared" si="198"/>
        <v>274.19354838709677</v>
      </c>
      <c r="L437" s="13">
        <f t="shared" si="180"/>
        <v>877.41935483870964</v>
      </c>
      <c r="N437" s="13">
        <f t="shared" si="212"/>
        <v>4332.2580645161288</v>
      </c>
      <c r="P437" s="13">
        <f t="shared" si="213"/>
        <v>10967.741935483871</v>
      </c>
      <c r="Q437" s="12">
        <f t="shared" si="171"/>
        <v>658.0645161290322</v>
      </c>
      <c r="R437" s="12">
        <f t="shared" si="182"/>
        <v>192</v>
      </c>
      <c r="S437" s="21">
        <f t="shared" si="181"/>
        <v>200</v>
      </c>
      <c r="T437" s="13">
        <v>0</v>
      </c>
      <c r="U437" s="13">
        <f t="shared" si="223"/>
        <v>1050.0645161290322</v>
      </c>
      <c r="V437" s="13">
        <f t="shared" si="205"/>
        <v>9917.677419354839</v>
      </c>
      <c r="X437" s="13">
        <f t="shared" si="187"/>
        <v>9917.677419354839</v>
      </c>
      <c r="Y437" s="12">
        <f t="shared" si="177"/>
        <v>721.12903225806451</v>
      </c>
      <c r="Z437" s="12">
        <f t="shared" si="173"/>
        <v>521</v>
      </c>
      <c r="AA437" s="1">
        <f t="shared" si="188"/>
        <v>0</v>
      </c>
      <c r="AB437" s="16">
        <f t="shared" si="224"/>
        <v>1242.1290322580644</v>
      </c>
      <c r="AC437" s="16">
        <f t="shared" si="186"/>
        <v>12209.870967741936</v>
      </c>
    </row>
    <row r="438" spans="1:29" x14ac:dyDescent="0.2">
      <c r="A438" s="10" t="s">
        <v>654</v>
      </c>
      <c r="B438" s="11">
        <f t="shared" si="178"/>
        <v>433</v>
      </c>
      <c r="C438" s="11" t="s">
        <v>347</v>
      </c>
      <c r="D438" s="11" t="s">
        <v>67</v>
      </c>
      <c r="F438" s="22">
        <v>42856</v>
      </c>
      <c r="G438" s="11">
        <v>37</v>
      </c>
      <c r="H438" s="13">
        <f t="shared" si="170"/>
        <v>5967.7419354838703</v>
      </c>
      <c r="I438" s="13">
        <f t="shared" si="175"/>
        <v>0</v>
      </c>
      <c r="J438" s="13">
        <f t="shared" si="198"/>
        <v>298.38709677419354</v>
      </c>
      <c r="L438" s="13">
        <f t="shared" si="180"/>
        <v>954.83870967741927</v>
      </c>
      <c r="N438" s="13">
        <f t="shared" si="212"/>
        <v>4714.5161290322585</v>
      </c>
      <c r="P438" s="13">
        <f t="shared" si="213"/>
        <v>11935.483870967742</v>
      </c>
      <c r="Q438" s="12">
        <f t="shared" si="171"/>
        <v>716.1290322580644</v>
      </c>
      <c r="R438" s="12">
        <f t="shared" si="182"/>
        <v>209</v>
      </c>
      <c r="S438" s="21">
        <f t="shared" si="181"/>
        <v>200</v>
      </c>
      <c r="T438" s="13">
        <v>0</v>
      </c>
      <c r="U438" s="13">
        <f t="shared" si="223"/>
        <v>1125.1290322580644</v>
      </c>
      <c r="V438" s="13">
        <f t="shared" si="205"/>
        <v>10810.354838709678</v>
      </c>
      <c r="X438" s="13">
        <f t="shared" si="187"/>
        <v>10810.354838709678</v>
      </c>
      <c r="Y438" s="12">
        <f t="shared" si="177"/>
        <v>784.75806451612902</v>
      </c>
      <c r="Z438" s="12">
        <f t="shared" si="173"/>
        <v>567</v>
      </c>
      <c r="AA438" s="1">
        <f t="shared" si="188"/>
        <v>0</v>
      </c>
      <c r="AB438" s="16">
        <f t="shared" si="224"/>
        <v>1351.758064516129</v>
      </c>
      <c r="AC438" s="16">
        <f t="shared" si="186"/>
        <v>13287.241935483871</v>
      </c>
    </row>
    <row r="439" spans="1:29" x14ac:dyDescent="0.2">
      <c r="A439" s="10" t="s">
        <v>655</v>
      </c>
      <c r="B439" s="11">
        <f t="shared" si="178"/>
        <v>434</v>
      </c>
      <c r="C439" s="11" t="s">
        <v>348</v>
      </c>
      <c r="D439" s="11" t="s">
        <v>67</v>
      </c>
      <c r="F439" s="22">
        <v>42856</v>
      </c>
      <c r="G439" s="11">
        <v>36</v>
      </c>
      <c r="H439" s="13">
        <f t="shared" si="170"/>
        <v>5806.4516129032254</v>
      </c>
      <c r="I439" s="13">
        <f t="shared" si="175"/>
        <v>0</v>
      </c>
      <c r="J439" s="13">
        <f t="shared" si="198"/>
        <v>290.32258064516128</v>
      </c>
      <c r="L439" s="13">
        <f t="shared" si="180"/>
        <v>929.0322580645161</v>
      </c>
      <c r="N439" s="13">
        <f t="shared" si="212"/>
        <v>4587.0967741935483</v>
      </c>
      <c r="P439" s="13">
        <f t="shared" si="213"/>
        <v>11612.903225806451</v>
      </c>
      <c r="Q439" s="12">
        <f t="shared" si="171"/>
        <v>696.77419354838707</v>
      </c>
      <c r="R439" s="12">
        <f t="shared" si="182"/>
        <v>204</v>
      </c>
      <c r="S439" s="21">
        <f t="shared" si="181"/>
        <v>200</v>
      </c>
      <c r="T439" s="13">
        <v>0</v>
      </c>
      <c r="U439" s="13">
        <f t="shared" si="223"/>
        <v>1100.7741935483871</v>
      </c>
      <c r="V439" s="13">
        <f t="shared" si="205"/>
        <v>10512.129032258064</v>
      </c>
      <c r="X439" s="13">
        <f t="shared" si="187"/>
        <v>10512.129032258064</v>
      </c>
      <c r="Y439" s="12">
        <f t="shared" si="177"/>
        <v>763.54838709677415</v>
      </c>
      <c r="Z439" s="12">
        <f t="shared" si="173"/>
        <v>552</v>
      </c>
      <c r="AA439" s="1">
        <f t="shared" si="188"/>
        <v>0</v>
      </c>
      <c r="AB439" s="16">
        <f t="shared" si="224"/>
        <v>1315.5483870967741</v>
      </c>
      <c r="AC439" s="16">
        <f t="shared" si="186"/>
        <v>12928.451612903225</v>
      </c>
    </row>
    <row r="440" spans="1:29" x14ac:dyDescent="0.2">
      <c r="A440" s="10" t="s">
        <v>833</v>
      </c>
      <c r="B440" s="11">
        <f t="shared" si="178"/>
        <v>435</v>
      </c>
      <c r="C440" s="11" t="s">
        <v>474</v>
      </c>
      <c r="D440" s="11" t="s">
        <v>67</v>
      </c>
      <c r="F440" s="22">
        <v>42887</v>
      </c>
      <c r="G440" s="11">
        <v>10</v>
      </c>
      <c r="H440" s="13">
        <f t="shared" si="170"/>
        <v>1612.9032258064515</v>
      </c>
      <c r="I440" s="13">
        <f t="shared" si="175"/>
        <v>0</v>
      </c>
      <c r="J440" s="13">
        <f t="shared" si="198"/>
        <v>80.645161290322577</v>
      </c>
      <c r="L440" s="13">
        <f t="shared" si="180"/>
        <v>258.06451612903226</v>
      </c>
      <c r="N440" s="13">
        <f t="shared" si="212"/>
        <v>1274.1935483870968</v>
      </c>
      <c r="P440" s="13">
        <f t="shared" si="213"/>
        <v>3225.8064516129034</v>
      </c>
      <c r="Q440" s="12">
        <f t="shared" si="171"/>
        <v>193.54838709677418</v>
      </c>
      <c r="R440" s="12">
        <f t="shared" si="182"/>
        <v>57</v>
      </c>
      <c r="S440" s="21">
        <f t="shared" si="181"/>
        <v>0</v>
      </c>
      <c r="T440" s="13">
        <v>0</v>
      </c>
      <c r="U440" s="13">
        <f t="shared" si="223"/>
        <v>250.54838709677418</v>
      </c>
      <c r="V440" s="13">
        <f t="shared" si="205"/>
        <v>2975.2580645161293</v>
      </c>
      <c r="X440" s="13">
        <f t="shared" si="187"/>
        <v>2975.2580645161293</v>
      </c>
      <c r="Y440" s="12">
        <f t="shared" si="177"/>
        <v>212.09677419354838</v>
      </c>
      <c r="Z440" s="12">
        <f t="shared" si="173"/>
        <v>154</v>
      </c>
      <c r="AA440" s="1">
        <f t="shared" si="188"/>
        <v>0</v>
      </c>
      <c r="AB440" s="16">
        <f t="shared" si="224"/>
        <v>366.09677419354841</v>
      </c>
      <c r="AC440" s="16">
        <f t="shared" si="186"/>
        <v>3591.9032258064517</v>
      </c>
    </row>
    <row r="441" spans="1:29" x14ac:dyDescent="0.2">
      <c r="A441" s="10" t="s">
        <v>834</v>
      </c>
      <c r="B441" s="11">
        <f t="shared" si="178"/>
        <v>436</v>
      </c>
      <c r="C441" s="11" t="s">
        <v>475</v>
      </c>
      <c r="D441" s="11" t="s">
        <v>67</v>
      </c>
      <c r="F441" s="22">
        <v>42887</v>
      </c>
      <c r="G441" s="11">
        <v>35</v>
      </c>
      <c r="H441" s="13">
        <f t="shared" si="170"/>
        <v>5645.1612903225805</v>
      </c>
      <c r="I441" s="13">
        <f t="shared" si="175"/>
        <v>0</v>
      </c>
      <c r="J441" s="13">
        <f t="shared" si="198"/>
        <v>282.25806451612902</v>
      </c>
      <c r="L441" s="13">
        <f t="shared" si="180"/>
        <v>903.22580645161281</v>
      </c>
      <c r="N441" s="13">
        <f t="shared" si="212"/>
        <v>4459.677419354839</v>
      </c>
      <c r="P441" s="13">
        <f t="shared" si="213"/>
        <v>11290.322580645161</v>
      </c>
      <c r="Q441" s="12">
        <f t="shared" si="171"/>
        <v>677.41935483870964</v>
      </c>
      <c r="R441" s="12">
        <f t="shared" si="182"/>
        <v>198</v>
      </c>
      <c r="S441" s="21">
        <f t="shared" si="181"/>
        <v>200</v>
      </c>
      <c r="T441" s="13">
        <v>0</v>
      </c>
      <c r="U441" s="13">
        <f t="shared" si="223"/>
        <v>1075.4193548387098</v>
      </c>
      <c r="V441" s="13">
        <f t="shared" si="205"/>
        <v>10214.903225806451</v>
      </c>
      <c r="X441" s="13">
        <f t="shared" si="187"/>
        <v>10214.903225806451</v>
      </c>
      <c r="Y441" s="12">
        <f t="shared" si="177"/>
        <v>742.33870967741939</v>
      </c>
      <c r="Z441" s="12">
        <f t="shared" si="173"/>
        <v>537</v>
      </c>
      <c r="AA441" s="1">
        <f t="shared" si="188"/>
        <v>0</v>
      </c>
      <c r="AB441" s="16">
        <f t="shared" si="224"/>
        <v>1279.3387096774195</v>
      </c>
      <c r="AC441" s="16">
        <f t="shared" si="186"/>
        <v>12569.66129032258</v>
      </c>
    </row>
    <row r="442" spans="1:29" x14ac:dyDescent="0.2">
      <c r="A442" s="10" t="s">
        <v>835</v>
      </c>
      <c r="B442" s="11">
        <f t="shared" si="178"/>
        <v>437</v>
      </c>
      <c r="C442" s="11" t="s">
        <v>476</v>
      </c>
      <c r="D442" s="11" t="s">
        <v>67</v>
      </c>
      <c r="F442" s="22">
        <v>42887</v>
      </c>
      <c r="G442" s="11">
        <v>35</v>
      </c>
      <c r="H442" s="13">
        <f t="shared" si="170"/>
        <v>5645.1612903225805</v>
      </c>
      <c r="I442" s="13">
        <f t="shared" si="175"/>
        <v>0</v>
      </c>
      <c r="J442" s="13">
        <f t="shared" si="198"/>
        <v>282.25806451612902</v>
      </c>
      <c r="L442" s="13">
        <f t="shared" si="180"/>
        <v>903.22580645161281</v>
      </c>
      <c r="N442" s="13">
        <f t="shared" si="212"/>
        <v>4459.677419354839</v>
      </c>
      <c r="P442" s="13">
        <f t="shared" ref="P442:P459" si="225">SUM(H442:O442)</f>
        <v>11290.322580645161</v>
      </c>
      <c r="Q442" s="12">
        <f t="shared" si="171"/>
        <v>677.41935483870964</v>
      </c>
      <c r="R442" s="12">
        <f t="shared" si="182"/>
        <v>198</v>
      </c>
      <c r="S442" s="21">
        <f t="shared" si="181"/>
        <v>200</v>
      </c>
      <c r="T442" s="13">
        <v>0</v>
      </c>
      <c r="U442" s="13">
        <f t="shared" si="223"/>
        <v>1075.4193548387098</v>
      </c>
      <c r="V442" s="13">
        <f t="shared" si="205"/>
        <v>10214.903225806451</v>
      </c>
      <c r="X442" s="13">
        <f t="shared" si="187"/>
        <v>10214.903225806451</v>
      </c>
      <c r="Y442" s="12">
        <f t="shared" si="177"/>
        <v>742.33870967741939</v>
      </c>
      <c r="Z442" s="12">
        <f t="shared" si="173"/>
        <v>537</v>
      </c>
      <c r="AA442" s="1">
        <f t="shared" si="188"/>
        <v>0</v>
      </c>
      <c r="AB442" s="16">
        <f t="shared" si="224"/>
        <v>1279.3387096774195</v>
      </c>
      <c r="AC442" s="16">
        <f t="shared" si="186"/>
        <v>12569.66129032258</v>
      </c>
    </row>
    <row r="443" spans="1:29" x14ac:dyDescent="0.2">
      <c r="A443" s="10" t="s">
        <v>836</v>
      </c>
      <c r="B443" s="11">
        <f t="shared" si="178"/>
        <v>438</v>
      </c>
      <c r="C443" s="11" t="s">
        <v>477</v>
      </c>
      <c r="D443" s="11" t="s">
        <v>67</v>
      </c>
      <c r="F443" s="22">
        <v>42887</v>
      </c>
      <c r="G443" s="11">
        <v>37</v>
      </c>
      <c r="H443" s="13">
        <f t="shared" si="170"/>
        <v>5967.7419354838703</v>
      </c>
      <c r="I443" s="13">
        <f t="shared" si="175"/>
        <v>0</v>
      </c>
      <c r="J443" s="13">
        <f t="shared" si="198"/>
        <v>298.38709677419354</v>
      </c>
      <c r="L443" s="13">
        <f t="shared" si="180"/>
        <v>954.83870967741927</v>
      </c>
      <c r="N443" s="13">
        <f t="shared" si="212"/>
        <v>4714.5161290322585</v>
      </c>
      <c r="P443" s="13">
        <f t="shared" si="225"/>
        <v>11935.483870967742</v>
      </c>
      <c r="Q443" s="12">
        <f t="shared" si="171"/>
        <v>716.1290322580644</v>
      </c>
      <c r="R443" s="12">
        <f t="shared" si="182"/>
        <v>209</v>
      </c>
      <c r="S443" s="21">
        <f t="shared" si="181"/>
        <v>200</v>
      </c>
      <c r="T443" s="13">
        <v>0</v>
      </c>
      <c r="U443" s="13">
        <f t="shared" si="223"/>
        <v>1125.1290322580644</v>
      </c>
      <c r="V443" s="13">
        <f t="shared" si="205"/>
        <v>10810.354838709678</v>
      </c>
      <c r="X443" s="13">
        <f t="shared" si="187"/>
        <v>10810.354838709678</v>
      </c>
      <c r="Y443" s="12">
        <f t="shared" si="177"/>
        <v>784.75806451612902</v>
      </c>
      <c r="Z443" s="12">
        <f t="shared" si="173"/>
        <v>567</v>
      </c>
      <c r="AA443" s="1">
        <f t="shared" si="188"/>
        <v>0</v>
      </c>
      <c r="AB443" s="16">
        <f t="shared" si="224"/>
        <v>1351.758064516129</v>
      </c>
      <c r="AC443" s="16">
        <f t="shared" si="186"/>
        <v>13287.241935483871</v>
      </c>
    </row>
    <row r="444" spans="1:29" x14ac:dyDescent="0.2">
      <c r="A444" s="10" t="s">
        <v>837</v>
      </c>
      <c r="B444" s="11">
        <f t="shared" si="178"/>
        <v>439</v>
      </c>
      <c r="C444" s="11" t="s">
        <v>478</v>
      </c>
      <c r="D444" s="11" t="s">
        <v>67</v>
      </c>
      <c r="F444" s="22">
        <v>42887</v>
      </c>
      <c r="G444" s="11">
        <v>36</v>
      </c>
      <c r="H444" s="13">
        <f t="shared" si="170"/>
        <v>5806.4516129032254</v>
      </c>
      <c r="I444" s="13">
        <f t="shared" si="175"/>
        <v>0</v>
      </c>
      <c r="J444" s="13">
        <f t="shared" si="198"/>
        <v>290.32258064516128</v>
      </c>
      <c r="L444" s="13">
        <f t="shared" si="180"/>
        <v>929.0322580645161</v>
      </c>
      <c r="N444" s="13">
        <f t="shared" si="212"/>
        <v>4587.0967741935483</v>
      </c>
      <c r="P444" s="13">
        <f t="shared" si="225"/>
        <v>11612.903225806451</v>
      </c>
      <c r="Q444" s="12">
        <f t="shared" si="171"/>
        <v>696.77419354838707</v>
      </c>
      <c r="R444" s="12">
        <f t="shared" si="182"/>
        <v>204</v>
      </c>
      <c r="S444" s="21">
        <f t="shared" si="181"/>
        <v>200</v>
      </c>
      <c r="T444" s="13">
        <v>0</v>
      </c>
      <c r="U444" s="13">
        <f t="shared" si="223"/>
        <v>1100.7741935483871</v>
      </c>
      <c r="V444" s="13">
        <f t="shared" si="205"/>
        <v>10512.129032258064</v>
      </c>
      <c r="X444" s="13">
        <f t="shared" si="187"/>
        <v>10512.129032258064</v>
      </c>
      <c r="Y444" s="12">
        <f t="shared" si="177"/>
        <v>763.54838709677415</v>
      </c>
      <c r="Z444" s="12">
        <f t="shared" si="173"/>
        <v>552</v>
      </c>
      <c r="AA444" s="1">
        <f t="shared" si="188"/>
        <v>0</v>
      </c>
      <c r="AB444" s="16">
        <f t="shared" si="224"/>
        <v>1315.5483870967741</v>
      </c>
      <c r="AC444" s="16">
        <f t="shared" si="186"/>
        <v>12928.451612903225</v>
      </c>
    </row>
    <row r="445" spans="1:29" x14ac:dyDescent="0.2">
      <c r="A445" s="10" t="s">
        <v>838</v>
      </c>
      <c r="B445" s="11">
        <f t="shared" si="178"/>
        <v>440</v>
      </c>
      <c r="C445" s="11" t="s">
        <v>479</v>
      </c>
      <c r="D445" s="11" t="s">
        <v>67</v>
      </c>
      <c r="F445" s="22">
        <v>42887</v>
      </c>
      <c r="G445" s="11">
        <v>19</v>
      </c>
      <c r="H445" s="13">
        <f t="shared" si="170"/>
        <v>3064.516129032258</v>
      </c>
      <c r="I445" s="13">
        <f t="shared" si="175"/>
        <v>0</v>
      </c>
      <c r="J445" s="13">
        <f t="shared" si="198"/>
        <v>153.2258064516129</v>
      </c>
      <c r="L445" s="13">
        <f t="shared" si="180"/>
        <v>490.32258064516128</v>
      </c>
      <c r="N445" s="13">
        <f t="shared" si="212"/>
        <v>2420.9677419354839</v>
      </c>
      <c r="P445" s="13">
        <f t="shared" si="225"/>
        <v>6129.0322580645161</v>
      </c>
      <c r="Q445" s="12">
        <f t="shared" si="171"/>
        <v>367.74193548387098</v>
      </c>
      <c r="R445" s="12">
        <f t="shared" si="182"/>
        <v>108</v>
      </c>
      <c r="S445" s="21">
        <f t="shared" si="181"/>
        <v>0</v>
      </c>
      <c r="T445" s="13">
        <v>0</v>
      </c>
      <c r="U445" s="13">
        <f t="shared" si="223"/>
        <v>475.74193548387098</v>
      </c>
      <c r="V445" s="13">
        <f t="shared" si="205"/>
        <v>5653.2903225806449</v>
      </c>
      <c r="X445" s="13">
        <f t="shared" si="187"/>
        <v>5653.2903225806449</v>
      </c>
      <c r="Y445" s="12">
        <f t="shared" si="177"/>
        <v>402.98387096774195</v>
      </c>
      <c r="Z445" s="12">
        <f t="shared" si="173"/>
        <v>292</v>
      </c>
      <c r="AA445" s="1">
        <f t="shared" si="188"/>
        <v>0</v>
      </c>
      <c r="AB445" s="16">
        <f t="shared" si="224"/>
        <v>694.98387096774195</v>
      </c>
      <c r="AC445" s="16">
        <f t="shared" si="186"/>
        <v>6824.0161290322576</v>
      </c>
    </row>
    <row r="446" spans="1:29" x14ac:dyDescent="0.2">
      <c r="A446" s="10" t="s">
        <v>839</v>
      </c>
      <c r="B446" s="11">
        <f t="shared" si="178"/>
        <v>441</v>
      </c>
      <c r="C446" s="11" t="s">
        <v>685</v>
      </c>
      <c r="D446" s="11" t="s">
        <v>67</v>
      </c>
      <c r="F446" s="22">
        <v>42887</v>
      </c>
      <c r="G446" s="11">
        <v>23</v>
      </c>
      <c r="H446" s="13">
        <f t="shared" si="170"/>
        <v>3709.6774193548385</v>
      </c>
      <c r="I446" s="13">
        <f t="shared" si="175"/>
        <v>0</v>
      </c>
      <c r="J446" s="13">
        <f t="shared" si="198"/>
        <v>185.48387096774195</v>
      </c>
      <c r="L446" s="13">
        <f t="shared" si="180"/>
        <v>593.54838709677415</v>
      </c>
      <c r="N446" s="13">
        <f t="shared" si="212"/>
        <v>2930.6451612903224</v>
      </c>
      <c r="P446" s="13">
        <f t="shared" si="225"/>
        <v>7419.3548387096762</v>
      </c>
      <c r="Q446" s="12">
        <f t="shared" si="171"/>
        <v>445.16129032258061</v>
      </c>
      <c r="R446" s="12">
        <f t="shared" si="182"/>
        <v>130</v>
      </c>
      <c r="S446" s="21">
        <f t="shared" si="181"/>
        <v>0</v>
      </c>
      <c r="T446" s="13">
        <v>0</v>
      </c>
      <c r="U446" s="13">
        <f t="shared" si="223"/>
        <v>575.16129032258061</v>
      </c>
      <c r="V446" s="13">
        <f t="shared" si="205"/>
        <v>6844.1935483870957</v>
      </c>
      <c r="X446" s="13">
        <f t="shared" si="187"/>
        <v>6844.1935483870957</v>
      </c>
      <c r="Y446" s="12">
        <f t="shared" si="177"/>
        <v>487.82258064516128</v>
      </c>
      <c r="Z446" s="12">
        <f t="shared" si="173"/>
        <v>353</v>
      </c>
      <c r="AA446" s="1">
        <f t="shared" si="188"/>
        <v>0</v>
      </c>
      <c r="AB446" s="16">
        <f t="shared" si="224"/>
        <v>840.82258064516122</v>
      </c>
      <c r="AC446" s="16">
        <f t="shared" si="186"/>
        <v>8260.1774193548372</v>
      </c>
    </row>
    <row r="447" spans="1:29" x14ac:dyDescent="0.2">
      <c r="A447" s="10" t="s">
        <v>667</v>
      </c>
      <c r="B447" s="11">
        <f t="shared" si="178"/>
        <v>442</v>
      </c>
      <c r="C447" s="11" t="s">
        <v>668</v>
      </c>
      <c r="D447" s="11" t="s">
        <v>67</v>
      </c>
      <c r="E447" s="11" t="s">
        <v>232</v>
      </c>
      <c r="F447" s="22">
        <v>42826</v>
      </c>
      <c r="G447" s="11">
        <f>34-1</f>
        <v>33</v>
      </c>
      <c r="H447" s="13">
        <f t="shared" si="170"/>
        <v>5322.5806451612898</v>
      </c>
      <c r="I447" s="13">
        <f t="shared" si="175"/>
        <v>0</v>
      </c>
      <c r="J447" s="13">
        <f t="shared" si="198"/>
        <v>266.12903225806451</v>
      </c>
      <c r="L447" s="13">
        <f t="shared" si="180"/>
        <v>851.61290322580635</v>
      </c>
      <c r="N447" s="13">
        <f>((9014)/G$3)*G447</f>
        <v>9595.5483870967728</v>
      </c>
      <c r="P447" s="13">
        <f t="shared" si="225"/>
        <v>16035.870967741934</v>
      </c>
      <c r="Q447" s="12">
        <f t="shared" si="171"/>
        <v>638.70967741935476</v>
      </c>
      <c r="R447" s="12">
        <f t="shared" si="182"/>
        <v>281</v>
      </c>
      <c r="S447" s="21">
        <f t="shared" si="181"/>
        <v>200</v>
      </c>
      <c r="T447" s="13">
        <v>0</v>
      </c>
      <c r="U447" s="13">
        <f t="shared" si="223"/>
        <v>1119.7096774193546</v>
      </c>
      <c r="V447" s="13">
        <f t="shared" si="205"/>
        <v>14916.16129032258</v>
      </c>
      <c r="X447" s="13">
        <f t="shared" si="187"/>
        <v>14916.16129032258</v>
      </c>
      <c r="Y447" s="12">
        <f t="shared" si="177"/>
        <v>699.91935483870964</v>
      </c>
      <c r="Z447" s="12">
        <f t="shared" si="173"/>
        <v>762</v>
      </c>
      <c r="AA447" s="1">
        <f t="shared" si="188"/>
        <v>0</v>
      </c>
      <c r="AB447" s="16">
        <f t="shared" si="224"/>
        <v>1461.9193548387098</v>
      </c>
      <c r="AC447" s="16">
        <f t="shared" si="186"/>
        <v>17497.790322580644</v>
      </c>
    </row>
    <row r="448" spans="1:29" x14ac:dyDescent="0.2">
      <c r="A448" s="10" t="s">
        <v>910</v>
      </c>
      <c r="B448" s="11">
        <f t="shared" si="178"/>
        <v>443</v>
      </c>
      <c r="C448" s="11" t="s">
        <v>686</v>
      </c>
      <c r="D448" s="11" t="s">
        <v>67</v>
      </c>
      <c r="F448" s="22">
        <v>42921</v>
      </c>
      <c r="G448" s="11">
        <v>10</v>
      </c>
      <c r="H448" s="13">
        <f t="shared" si="170"/>
        <v>1612.9032258064515</v>
      </c>
      <c r="I448" s="13">
        <f t="shared" si="175"/>
        <v>0</v>
      </c>
      <c r="J448" s="13">
        <f t="shared" si="198"/>
        <v>80.645161290322577</v>
      </c>
      <c r="L448" s="13">
        <f t="shared" si="180"/>
        <v>258.06451612903226</v>
      </c>
      <c r="N448" s="13">
        <f t="shared" ref="N448:N458" si="226">((1950+2000)/G$3)*G448</f>
        <v>1274.1935483870968</v>
      </c>
      <c r="P448" s="13">
        <f t="shared" si="225"/>
        <v>3225.8064516129034</v>
      </c>
      <c r="Q448" s="12">
        <f t="shared" si="171"/>
        <v>193.54838709677418</v>
      </c>
      <c r="R448" s="12">
        <f t="shared" si="182"/>
        <v>57</v>
      </c>
      <c r="S448" s="21">
        <f t="shared" si="181"/>
        <v>0</v>
      </c>
      <c r="T448" s="13">
        <v>0</v>
      </c>
      <c r="U448" s="13">
        <f t="shared" si="223"/>
        <v>250.54838709677418</v>
      </c>
      <c r="V448" s="13">
        <f t="shared" si="205"/>
        <v>2975.2580645161293</v>
      </c>
      <c r="X448" s="13">
        <f t="shared" si="187"/>
        <v>2975.2580645161293</v>
      </c>
      <c r="Y448" s="12">
        <f t="shared" si="177"/>
        <v>212.09677419354838</v>
      </c>
      <c r="Z448" s="12">
        <f t="shared" si="173"/>
        <v>154</v>
      </c>
      <c r="AA448" s="1">
        <f t="shared" si="188"/>
        <v>0</v>
      </c>
      <c r="AB448" s="16">
        <f t="shared" si="224"/>
        <v>366.09677419354841</v>
      </c>
      <c r="AC448" s="16">
        <f t="shared" si="186"/>
        <v>3591.9032258064517</v>
      </c>
    </row>
    <row r="449" spans="1:29" x14ac:dyDescent="0.2">
      <c r="A449" s="10" t="s">
        <v>911</v>
      </c>
      <c r="B449" s="11">
        <f t="shared" si="178"/>
        <v>444</v>
      </c>
      <c r="C449" s="11" t="s">
        <v>687</v>
      </c>
      <c r="D449" s="11" t="s">
        <v>67</v>
      </c>
      <c r="F449" s="22">
        <v>42918</v>
      </c>
      <c r="G449" s="11">
        <v>31</v>
      </c>
      <c r="H449" s="13">
        <f t="shared" si="170"/>
        <v>5000</v>
      </c>
      <c r="I449" s="13">
        <f t="shared" si="175"/>
        <v>0</v>
      </c>
      <c r="J449" s="13">
        <f t="shared" si="198"/>
        <v>250</v>
      </c>
      <c r="L449" s="13">
        <f t="shared" si="180"/>
        <v>800</v>
      </c>
      <c r="N449" s="13">
        <f t="shared" si="226"/>
        <v>3950</v>
      </c>
      <c r="P449" s="13">
        <f t="shared" si="225"/>
        <v>10000</v>
      </c>
      <c r="Q449" s="12">
        <f t="shared" si="171"/>
        <v>600</v>
      </c>
      <c r="R449" s="12">
        <f t="shared" si="182"/>
        <v>175</v>
      </c>
      <c r="S449" s="21">
        <f t="shared" si="181"/>
        <v>200</v>
      </c>
      <c r="T449" s="13">
        <v>0</v>
      </c>
      <c r="U449" s="13">
        <f t="shared" si="223"/>
        <v>975</v>
      </c>
      <c r="V449" s="13">
        <f t="shared" si="205"/>
        <v>9025</v>
      </c>
      <c r="X449" s="13">
        <f t="shared" si="187"/>
        <v>9025</v>
      </c>
      <c r="Y449" s="12">
        <f t="shared" si="177"/>
        <v>657.5</v>
      </c>
      <c r="Z449" s="12">
        <f t="shared" si="173"/>
        <v>475</v>
      </c>
      <c r="AA449" s="1">
        <f t="shared" si="188"/>
        <v>0</v>
      </c>
      <c r="AB449" s="16">
        <f t="shared" si="224"/>
        <v>1132.5</v>
      </c>
      <c r="AC449" s="16">
        <f t="shared" si="186"/>
        <v>11132.5</v>
      </c>
    </row>
    <row r="450" spans="1:29" x14ac:dyDescent="0.2">
      <c r="A450" s="10" t="s">
        <v>912</v>
      </c>
      <c r="B450" s="11">
        <f t="shared" si="178"/>
        <v>445</v>
      </c>
      <c r="C450" s="11" t="s">
        <v>698</v>
      </c>
      <c r="D450" s="11" t="s">
        <v>67</v>
      </c>
      <c r="F450" s="22">
        <v>42919</v>
      </c>
      <c r="G450" s="11">
        <v>33</v>
      </c>
      <c r="H450" s="13">
        <f t="shared" si="170"/>
        <v>5322.5806451612898</v>
      </c>
      <c r="I450" s="13">
        <f t="shared" si="175"/>
        <v>0</v>
      </c>
      <c r="J450" s="13">
        <f t="shared" si="198"/>
        <v>266.12903225806451</v>
      </c>
      <c r="L450" s="13">
        <f t="shared" si="180"/>
        <v>851.61290322580635</v>
      </c>
      <c r="N450" s="13">
        <f t="shared" si="226"/>
        <v>4204.8387096774195</v>
      </c>
      <c r="P450" s="13">
        <f t="shared" si="225"/>
        <v>10645.16129032258</v>
      </c>
      <c r="Q450" s="12">
        <f t="shared" si="171"/>
        <v>638.70967741935476</v>
      </c>
      <c r="R450" s="12">
        <f t="shared" si="182"/>
        <v>187</v>
      </c>
      <c r="S450" s="21">
        <f t="shared" si="181"/>
        <v>200</v>
      </c>
      <c r="T450" s="13">
        <v>0</v>
      </c>
      <c r="U450" s="13">
        <f t="shared" si="223"/>
        <v>1025.7096774193546</v>
      </c>
      <c r="V450" s="13">
        <f t="shared" si="205"/>
        <v>9619.4516129032254</v>
      </c>
      <c r="X450" s="13">
        <f t="shared" si="187"/>
        <v>9619.4516129032254</v>
      </c>
      <c r="Y450" s="12">
        <f t="shared" si="177"/>
        <v>699.91935483870964</v>
      </c>
      <c r="Z450" s="12">
        <f t="shared" si="173"/>
        <v>506</v>
      </c>
      <c r="AA450" s="1">
        <f t="shared" si="188"/>
        <v>0</v>
      </c>
      <c r="AB450" s="16">
        <f t="shared" si="224"/>
        <v>1205.9193548387098</v>
      </c>
      <c r="AC450" s="16">
        <f t="shared" si="186"/>
        <v>11851.08064516129</v>
      </c>
    </row>
    <row r="451" spans="1:29" x14ac:dyDescent="0.2">
      <c r="A451" s="10" t="s">
        <v>913</v>
      </c>
      <c r="B451" s="11">
        <f t="shared" si="178"/>
        <v>446</v>
      </c>
      <c r="C451" s="11" t="s">
        <v>699</v>
      </c>
      <c r="D451" s="11" t="s">
        <v>67</v>
      </c>
      <c r="F451" s="22">
        <v>42920</v>
      </c>
      <c r="G451" s="11">
        <v>6</v>
      </c>
      <c r="H451" s="13">
        <f t="shared" si="170"/>
        <v>967.74193548387098</v>
      </c>
      <c r="I451" s="13">
        <f t="shared" si="175"/>
        <v>0</v>
      </c>
      <c r="J451" s="13">
        <f t="shared" si="198"/>
        <v>48.387096774193552</v>
      </c>
      <c r="L451" s="13">
        <f t="shared" si="180"/>
        <v>154.83870967741933</v>
      </c>
      <c r="N451" s="13">
        <f t="shared" si="226"/>
        <v>764.51612903225805</v>
      </c>
      <c r="P451" s="13">
        <f t="shared" si="225"/>
        <v>1935.483870967742</v>
      </c>
      <c r="Q451" s="12">
        <f t="shared" si="171"/>
        <v>116.12903225806451</v>
      </c>
      <c r="R451" s="12">
        <f t="shared" si="182"/>
        <v>34</v>
      </c>
      <c r="S451" s="21">
        <f t="shared" si="181"/>
        <v>0</v>
      </c>
      <c r="T451" s="13">
        <v>0</v>
      </c>
      <c r="U451" s="13">
        <f t="shared" si="223"/>
        <v>150.12903225806451</v>
      </c>
      <c r="V451" s="13">
        <f t="shared" si="205"/>
        <v>1785.3548387096776</v>
      </c>
      <c r="X451" s="13">
        <f t="shared" si="187"/>
        <v>1785.3548387096776</v>
      </c>
      <c r="Y451" s="12">
        <f t="shared" si="177"/>
        <v>127.25806451612904</v>
      </c>
      <c r="Z451" s="12">
        <f t="shared" si="173"/>
        <v>92</v>
      </c>
      <c r="AA451" s="1">
        <f t="shared" si="188"/>
        <v>0</v>
      </c>
      <c r="AB451" s="16">
        <f t="shared" si="224"/>
        <v>219.25806451612902</v>
      </c>
      <c r="AC451" s="16">
        <f t="shared" si="186"/>
        <v>2154.7419354838712</v>
      </c>
    </row>
    <row r="452" spans="1:29" x14ac:dyDescent="0.2">
      <c r="A452" s="10" t="s">
        <v>914</v>
      </c>
      <c r="B452" s="11">
        <f t="shared" si="178"/>
        <v>447</v>
      </c>
      <c r="C452" s="11" t="s">
        <v>688</v>
      </c>
      <c r="D452" s="11" t="s">
        <v>67</v>
      </c>
      <c r="F452" s="22">
        <v>42919</v>
      </c>
      <c r="G452" s="11">
        <v>33</v>
      </c>
      <c r="H452" s="13">
        <f t="shared" si="170"/>
        <v>5322.5806451612898</v>
      </c>
      <c r="I452" s="13">
        <f t="shared" si="175"/>
        <v>0</v>
      </c>
      <c r="J452" s="13">
        <f t="shared" si="198"/>
        <v>266.12903225806451</v>
      </c>
      <c r="L452" s="13">
        <f t="shared" si="180"/>
        <v>851.61290322580635</v>
      </c>
      <c r="N452" s="13">
        <f t="shared" si="226"/>
        <v>4204.8387096774195</v>
      </c>
      <c r="P452" s="13">
        <f t="shared" si="225"/>
        <v>10645.16129032258</v>
      </c>
      <c r="Q452" s="12">
        <f t="shared" si="171"/>
        <v>638.70967741935476</v>
      </c>
      <c r="R452" s="12">
        <f t="shared" si="182"/>
        <v>187</v>
      </c>
      <c r="S452" s="21">
        <f t="shared" si="181"/>
        <v>200</v>
      </c>
      <c r="T452" s="13">
        <v>0</v>
      </c>
      <c r="U452" s="13">
        <f t="shared" si="223"/>
        <v>1025.7096774193546</v>
      </c>
      <c r="V452" s="13">
        <f t="shared" si="205"/>
        <v>9619.4516129032254</v>
      </c>
      <c r="X452" s="13">
        <f t="shared" si="187"/>
        <v>9619.4516129032254</v>
      </c>
      <c r="Y452" s="12">
        <f t="shared" si="177"/>
        <v>699.91935483870964</v>
      </c>
      <c r="Z452" s="12">
        <f t="shared" si="173"/>
        <v>506</v>
      </c>
      <c r="AA452" s="1">
        <f t="shared" si="188"/>
        <v>0</v>
      </c>
      <c r="AB452" s="16">
        <f t="shared" si="224"/>
        <v>1205.9193548387098</v>
      </c>
      <c r="AC452" s="16">
        <f t="shared" si="186"/>
        <v>11851.08064516129</v>
      </c>
    </row>
    <row r="453" spans="1:29" x14ac:dyDescent="0.2">
      <c r="A453" s="10" t="s">
        <v>915</v>
      </c>
      <c r="B453" s="11">
        <f t="shared" si="178"/>
        <v>448</v>
      </c>
      <c r="C453" s="11" t="s">
        <v>700</v>
      </c>
      <c r="D453" s="11" t="s">
        <v>67</v>
      </c>
      <c r="F453" s="22">
        <v>42920</v>
      </c>
      <c r="G453" s="11">
        <v>21</v>
      </c>
      <c r="H453" s="13">
        <f t="shared" si="170"/>
        <v>3387.0967741935483</v>
      </c>
      <c r="I453" s="13">
        <f t="shared" si="175"/>
        <v>0</v>
      </c>
      <c r="J453" s="13">
        <f t="shared" si="198"/>
        <v>169.35483870967744</v>
      </c>
      <c r="L453" s="13">
        <f t="shared" si="180"/>
        <v>541.93548387096769</v>
      </c>
      <c r="N453" s="13">
        <f t="shared" si="226"/>
        <v>2675.8064516129034</v>
      </c>
      <c r="P453" s="13">
        <f t="shared" si="225"/>
        <v>6774.1935483870966</v>
      </c>
      <c r="Q453" s="12">
        <f t="shared" si="171"/>
        <v>406.45161290322579</v>
      </c>
      <c r="R453" s="12">
        <f t="shared" si="182"/>
        <v>119</v>
      </c>
      <c r="S453" s="21">
        <f t="shared" si="181"/>
        <v>0</v>
      </c>
      <c r="T453" s="13">
        <v>0</v>
      </c>
      <c r="U453" s="13">
        <f t="shared" si="223"/>
        <v>525.45161290322585</v>
      </c>
      <c r="V453" s="13">
        <f t="shared" si="205"/>
        <v>6248.7419354838712</v>
      </c>
      <c r="X453" s="13">
        <f t="shared" si="187"/>
        <v>6248.7419354838712</v>
      </c>
      <c r="Y453" s="12">
        <f t="shared" si="177"/>
        <v>445.40322580645164</v>
      </c>
      <c r="Z453" s="12">
        <f t="shared" si="173"/>
        <v>322</v>
      </c>
      <c r="AA453" s="1">
        <f t="shared" si="188"/>
        <v>0</v>
      </c>
      <c r="AB453" s="16">
        <f t="shared" si="224"/>
        <v>767.4032258064517</v>
      </c>
      <c r="AC453" s="16">
        <f t="shared" si="186"/>
        <v>7541.5967741935483</v>
      </c>
    </row>
    <row r="454" spans="1:29" x14ac:dyDescent="0.2">
      <c r="A454" s="10" t="s">
        <v>916</v>
      </c>
      <c r="B454" s="11">
        <f t="shared" si="178"/>
        <v>449</v>
      </c>
      <c r="C454" s="11" t="s">
        <v>689</v>
      </c>
      <c r="D454" s="11" t="s">
        <v>67</v>
      </c>
      <c r="F454" s="22">
        <v>42921</v>
      </c>
      <c r="G454" s="11">
        <v>37</v>
      </c>
      <c r="H454" s="13">
        <f t="shared" ref="H454:H475" si="227">(5000/G$3)*G454</f>
        <v>5967.7419354838703</v>
      </c>
      <c r="I454" s="13">
        <f t="shared" si="175"/>
        <v>0</v>
      </c>
      <c r="J454" s="13">
        <f t="shared" si="198"/>
        <v>298.38709677419354</v>
      </c>
      <c r="L454" s="13">
        <f t="shared" si="180"/>
        <v>954.83870967741927</v>
      </c>
      <c r="N454" s="13">
        <f t="shared" si="226"/>
        <v>4714.5161290322585</v>
      </c>
      <c r="P454" s="13">
        <f t="shared" si="225"/>
        <v>11935.483870967742</v>
      </c>
      <c r="Q454" s="12">
        <f t="shared" ref="Q454:Q475" si="228">(H454+I454)*12%</f>
        <v>716.1290322580644</v>
      </c>
      <c r="R454" s="12">
        <f t="shared" si="182"/>
        <v>209</v>
      </c>
      <c r="S454" s="21">
        <f t="shared" si="181"/>
        <v>200</v>
      </c>
      <c r="T454" s="13">
        <v>0</v>
      </c>
      <c r="U454" s="13">
        <f t="shared" si="223"/>
        <v>1125.1290322580644</v>
      </c>
      <c r="V454" s="13">
        <f t="shared" si="205"/>
        <v>10810.354838709678</v>
      </c>
      <c r="X454" s="13">
        <f t="shared" si="187"/>
        <v>10810.354838709678</v>
      </c>
      <c r="Y454" s="12">
        <f t="shared" si="177"/>
        <v>784.75806451612902</v>
      </c>
      <c r="Z454" s="12">
        <f t="shared" ref="Z454:Z475" si="229">CEILING((P454)*4.75%,1)</f>
        <v>567</v>
      </c>
      <c r="AA454" s="1">
        <f t="shared" si="188"/>
        <v>0</v>
      </c>
      <c r="AB454" s="16">
        <f t="shared" si="224"/>
        <v>1351.758064516129</v>
      </c>
      <c r="AC454" s="16">
        <f t="shared" si="186"/>
        <v>13287.241935483871</v>
      </c>
    </row>
    <row r="455" spans="1:29" x14ac:dyDescent="0.2">
      <c r="A455" s="10" t="s">
        <v>917</v>
      </c>
      <c r="B455" s="11">
        <f t="shared" si="178"/>
        <v>450</v>
      </c>
      <c r="C455" s="11" t="s">
        <v>690</v>
      </c>
      <c r="D455" s="11" t="s">
        <v>67</v>
      </c>
      <c r="F455" s="22">
        <v>42923</v>
      </c>
      <c r="G455" s="11">
        <v>8</v>
      </c>
      <c r="H455" s="13">
        <f t="shared" si="227"/>
        <v>1290.3225806451612</v>
      </c>
      <c r="I455" s="13">
        <f t="shared" ref="I455:I475" si="230">((0)/G$3)*G455</f>
        <v>0</v>
      </c>
      <c r="J455" s="13">
        <f t="shared" si="198"/>
        <v>64.516129032258064</v>
      </c>
      <c r="L455" s="13">
        <f t="shared" si="180"/>
        <v>206.45161290322579</v>
      </c>
      <c r="N455" s="13">
        <f t="shared" si="226"/>
        <v>1019.3548387096774</v>
      </c>
      <c r="P455" s="13">
        <f t="shared" si="225"/>
        <v>2580.6451612903224</v>
      </c>
      <c r="Q455" s="12">
        <f t="shared" si="228"/>
        <v>154.83870967741933</v>
      </c>
      <c r="R455" s="12">
        <f t="shared" si="182"/>
        <v>46</v>
      </c>
      <c r="S455" s="21">
        <f t="shared" si="181"/>
        <v>0</v>
      </c>
      <c r="T455" s="13">
        <v>0</v>
      </c>
      <c r="U455" s="13">
        <f t="shared" si="223"/>
        <v>200.83870967741933</v>
      </c>
      <c r="V455" s="13">
        <f t="shared" si="205"/>
        <v>2379.8064516129029</v>
      </c>
      <c r="X455" s="13">
        <f t="shared" si="187"/>
        <v>2379.8064516129029</v>
      </c>
      <c r="Y455" s="12">
        <f t="shared" ref="Y455:Y475" si="231">(H455+I455)*13.15%</f>
        <v>169.67741935483872</v>
      </c>
      <c r="Z455" s="12">
        <f t="shared" si="229"/>
        <v>123</v>
      </c>
      <c r="AA455" s="1">
        <f t="shared" si="188"/>
        <v>0</v>
      </c>
      <c r="AB455" s="16">
        <f t="shared" si="224"/>
        <v>292.67741935483872</v>
      </c>
      <c r="AC455" s="16">
        <f t="shared" si="186"/>
        <v>2873.322580645161</v>
      </c>
    </row>
    <row r="456" spans="1:29" x14ac:dyDescent="0.2">
      <c r="A456" s="10" t="s">
        <v>918</v>
      </c>
      <c r="B456" s="11">
        <f t="shared" ref="B456:B475" si="232">B455+1</f>
        <v>451</v>
      </c>
      <c r="C456" s="11" t="s">
        <v>691</v>
      </c>
      <c r="D456" s="11" t="s">
        <v>67</v>
      </c>
      <c r="F456" s="22">
        <v>42923</v>
      </c>
      <c r="G456" s="11">
        <v>9</v>
      </c>
      <c r="H456" s="13">
        <f t="shared" si="227"/>
        <v>1451.6129032258063</v>
      </c>
      <c r="I456" s="13">
        <f t="shared" si="230"/>
        <v>0</v>
      </c>
      <c r="J456" s="13">
        <f t="shared" si="198"/>
        <v>72.58064516129032</v>
      </c>
      <c r="L456" s="13">
        <f t="shared" si="180"/>
        <v>232.25806451612902</v>
      </c>
      <c r="N456" s="13">
        <f t="shared" si="226"/>
        <v>1146.7741935483871</v>
      </c>
      <c r="P456" s="13">
        <f t="shared" si="225"/>
        <v>2903.2258064516127</v>
      </c>
      <c r="Q456" s="12">
        <f t="shared" si="228"/>
        <v>174.19354838709677</v>
      </c>
      <c r="R456" s="12">
        <f t="shared" si="182"/>
        <v>51</v>
      </c>
      <c r="S456" s="21">
        <f t="shared" si="181"/>
        <v>0</v>
      </c>
      <c r="T456" s="13">
        <v>0</v>
      </c>
      <c r="U456" s="13">
        <f t="shared" si="223"/>
        <v>225.19354838709677</v>
      </c>
      <c r="V456" s="13">
        <f t="shared" si="205"/>
        <v>2678.0322580645161</v>
      </c>
      <c r="X456" s="13">
        <f t="shared" si="187"/>
        <v>2678.0322580645161</v>
      </c>
      <c r="Y456" s="12">
        <f t="shared" si="231"/>
        <v>190.88709677419354</v>
      </c>
      <c r="Z456" s="12">
        <f t="shared" si="229"/>
        <v>138</v>
      </c>
      <c r="AA456" s="1">
        <f t="shared" si="188"/>
        <v>0</v>
      </c>
      <c r="AB456" s="16">
        <f t="shared" si="224"/>
        <v>328.88709677419354</v>
      </c>
      <c r="AC456" s="16">
        <f t="shared" si="186"/>
        <v>3232.1129032258063</v>
      </c>
    </row>
    <row r="457" spans="1:29" x14ac:dyDescent="0.2">
      <c r="A457" s="10" t="s">
        <v>919</v>
      </c>
      <c r="B457" s="11">
        <f t="shared" si="232"/>
        <v>452</v>
      </c>
      <c r="C457" s="11" t="s">
        <v>692</v>
      </c>
      <c r="D457" s="11" t="s">
        <v>67</v>
      </c>
      <c r="F457" s="22">
        <v>42926</v>
      </c>
      <c r="G457" s="11">
        <v>6</v>
      </c>
      <c r="H457" s="13">
        <f t="shared" si="227"/>
        <v>967.74193548387098</v>
      </c>
      <c r="I457" s="13">
        <f t="shared" si="230"/>
        <v>0</v>
      </c>
      <c r="J457" s="13">
        <f t="shared" si="198"/>
        <v>48.387096774193552</v>
      </c>
      <c r="L457" s="13">
        <f t="shared" ref="L457:L475" si="233">((800)/G$3)*G457</f>
        <v>154.83870967741933</v>
      </c>
      <c r="N457" s="13">
        <f t="shared" si="226"/>
        <v>764.51612903225805</v>
      </c>
      <c r="P457" s="13">
        <f t="shared" si="225"/>
        <v>1935.483870967742</v>
      </c>
      <c r="Q457" s="12">
        <f t="shared" si="228"/>
        <v>116.12903225806451</v>
      </c>
      <c r="R457" s="12">
        <f t="shared" si="182"/>
        <v>34</v>
      </c>
      <c r="S457" s="21">
        <f t="shared" ref="S457:S475" si="234">+IF(P457&lt;2501,0,IF((P457&gt;2501)*(P457&lt;3500),0,IF((P457&gt;3501)*(P457&lt;7500),0,IF((P457&gt;7501)*(P457&lt;10000),175,200))))</f>
        <v>0</v>
      </c>
      <c r="T457" s="13">
        <v>0</v>
      </c>
      <c r="U457" s="13">
        <f t="shared" si="223"/>
        <v>150.12903225806451</v>
      </c>
      <c r="V457" s="13">
        <f t="shared" si="205"/>
        <v>1785.3548387096776</v>
      </c>
      <c r="X457" s="13">
        <f t="shared" si="187"/>
        <v>1785.3548387096776</v>
      </c>
      <c r="Y457" s="12">
        <f t="shared" si="231"/>
        <v>127.25806451612904</v>
      </c>
      <c r="Z457" s="12">
        <f t="shared" si="229"/>
        <v>92</v>
      </c>
      <c r="AA457" s="1">
        <f t="shared" si="188"/>
        <v>0</v>
      </c>
      <c r="AB457" s="16">
        <f t="shared" si="224"/>
        <v>219.25806451612902</v>
      </c>
      <c r="AC457" s="16">
        <f t="shared" si="186"/>
        <v>2154.7419354838712</v>
      </c>
    </row>
    <row r="458" spans="1:29" x14ac:dyDescent="0.2">
      <c r="A458" s="10" t="s">
        <v>920</v>
      </c>
      <c r="B458" s="11">
        <f t="shared" si="232"/>
        <v>453</v>
      </c>
      <c r="C458" s="11" t="s">
        <v>693</v>
      </c>
      <c r="D458" s="11" t="s">
        <v>67</v>
      </c>
      <c r="F458" s="22">
        <v>42923</v>
      </c>
      <c r="G458" s="11">
        <v>36</v>
      </c>
      <c r="H458" s="13">
        <f t="shared" si="227"/>
        <v>5806.4516129032254</v>
      </c>
      <c r="I458" s="13">
        <f t="shared" si="230"/>
        <v>0</v>
      </c>
      <c r="J458" s="13">
        <f t="shared" si="198"/>
        <v>290.32258064516128</v>
      </c>
      <c r="L458" s="13">
        <f t="shared" si="233"/>
        <v>929.0322580645161</v>
      </c>
      <c r="N458" s="13">
        <f t="shared" si="226"/>
        <v>4587.0967741935483</v>
      </c>
      <c r="P458" s="13">
        <f t="shared" si="225"/>
        <v>11612.903225806451</v>
      </c>
      <c r="Q458" s="12">
        <f t="shared" si="228"/>
        <v>696.77419354838707</v>
      </c>
      <c r="R458" s="12">
        <f t="shared" ref="R458:R475" si="235">ROUNDUP((P458*1.75%),0)</f>
        <v>204</v>
      </c>
      <c r="S458" s="21">
        <f t="shared" si="234"/>
        <v>200</v>
      </c>
      <c r="T458" s="13">
        <v>0</v>
      </c>
      <c r="U458" s="13">
        <f t="shared" si="223"/>
        <v>1100.7741935483871</v>
      </c>
      <c r="V458" s="13">
        <f t="shared" si="205"/>
        <v>10512.129032258064</v>
      </c>
      <c r="X458" s="13">
        <f t="shared" si="187"/>
        <v>10512.129032258064</v>
      </c>
      <c r="Y458" s="12">
        <f t="shared" si="231"/>
        <v>763.54838709677415</v>
      </c>
      <c r="Z458" s="12">
        <f t="shared" si="229"/>
        <v>552</v>
      </c>
      <c r="AA458" s="1">
        <f t="shared" si="188"/>
        <v>0</v>
      </c>
      <c r="AB458" s="16">
        <f t="shared" si="224"/>
        <v>1315.5483870967741</v>
      </c>
      <c r="AC458" s="16">
        <f t="shared" si="186"/>
        <v>12928.451612903225</v>
      </c>
    </row>
    <row r="459" spans="1:29" x14ac:dyDescent="0.2">
      <c r="A459" s="10" t="s">
        <v>921</v>
      </c>
      <c r="B459" s="11">
        <f t="shared" si="232"/>
        <v>454</v>
      </c>
      <c r="C459" s="11" t="s">
        <v>694</v>
      </c>
      <c r="D459" s="11" t="s">
        <v>67</v>
      </c>
      <c r="F459" s="22">
        <v>42928</v>
      </c>
      <c r="G459" s="11">
        <v>33</v>
      </c>
      <c r="H459" s="13">
        <f t="shared" si="227"/>
        <v>5322.5806451612898</v>
      </c>
      <c r="I459" s="13">
        <f t="shared" si="230"/>
        <v>0</v>
      </c>
      <c r="J459" s="13">
        <f t="shared" si="198"/>
        <v>266.12903225806451</v>
      </c>
      <c r="L459" s="13">
        <f t="shared" si="233"/>
        <v>851.61290322580635</v>
      </c>
      <c r="N459" s="13">
        <f>((1950+2000+3537)/G$3)*G459</f>
        <v>7970.032258064517</v>
      </c>
      <c r="O459" s="13">
        <v>2282</v>
      </c>
      <c r="P459" s="13">
        <f t="shared" si="225"/>
        <v>16692.354838709678</v>
      </c>
      <c r="Q459" s="12">
        <f t="shared" si="228"/>
        <v>638.70967741935476</v>
      </c>
      <c r="R459" s="12">
        <f t="shared" si="235"/>
        <v>293</v>
      </c>
      <c r="S459" s="21">
        <f t="shared" si="234"/>
        <v>200</v>
      </c>
      <c r="T459" s="13">
        <v>0</v>
      </c>
      <c r="U459" s="13">
        <f t="shared" si="223"/>
        <v>1131.7096774193546</v>
      </c>
      <c r="V459" s="13">
        <f t="shared" si="205"/>
        <v>15560.645161290324</v>
      </c>
      <c r="W459" s="13">
        <f>2067+175</f>
        <v>2242</v>
      </c>
      <c r="X459" s="13">
        <f t="shared" si="187"/>
        <v>13318.645161290324</v>
      </c>
      <c r="Y459" s="12">
        <f t="shared" si="231"/>
        <v>699.91935483870964</v>
      </c>
      <c r="Z459" s="12">
        <f t="shared" si="229"/>
        <v>793</v>
      </c>
      <c r="AA459" s="1">
        <f t="shared" si="188"/>
        <v>0</v>
      </c>
      <c r="AB459" s="16">
        <f t="shared" si="224"/>
        <v>1492.9193548387098</v>
      </c>
      <c r="AC459" s="16">
        <f t="shared" ref="AC459:AC475" si="236">P459+AB459</f>
        <v>18185.274193548386</v>
      </c>
    </row>
    <row r="460" spans="1:29" x14ac:dyDescent="0.2">
      <c r="A460" s="10" t="s">
        <v>922</v>
      </c>
      <c r="B460" s="11">
        <f t="shared" si="232"/>
        <v>455</v>
      </c>
      <c r="C460" s="11" t="s">
        <v>695</v>
      </c>
      <c r="D460" s="11" t="s">
        <v>67</v>
      </c>
      <c r="F460" s="22">
        <v>42937</v>
      </c>
      <c r="G460" s="11">
        <v>36</v>
      </c>
      <c r="H460" s="13">
        <f t="shared" si="227"/>
        <v>5806.4516129032254</v>
      </c>
      <c r="I460" s="13">
        <f t="shared" si="230"/>
        <v>0</v>
      </c>
      <c r="J460" s="13">
        <f t="shared" si="198"/>
        <v>290.32258064516128</v>
      </c>
      <c r="L460" s="13">
        <f t="shared" si="233"/>
        <v>929.0322580645161</v>
      </c>
      <c r="N460" s="13">
        <f t="shared" ref="N460:N462" si="237">((1950+2000+3537)/G$3)*G460</f>
        <v>8694.5806451612916</v>
      </c>
      <c r="O460" s="13">
        <v>1369</v>
      </c>
      <c r="P460" s="13">
        <f t="shared" ref="P460:P462" si="238">SUM(H460:O460)</f>
        <v>17089.387096774193</v>
      </c>
      <c r="Q460" s="12">
        <f t="shared" si="228"/>
        <v>696.77419354838707</v>
      </c>
      <c r="R460" s="12">
        <f t="shared" si="235"/>
        <v>300</v>
      </c>
      <c r="S460" s="21">
        <f t="shared" si="234"/>
        <v>200</v>
      </c>
      <c r="T460" s="13">
        <v>0</v>
      </c>
      <c r="U460" s="13">
        <f t="shared" si="223"/>
        <v>1196.7741935483871</v>
      </c>
      <c r="V460" s="13">
        <f t="shared" si="205"/>
        <v>15892.612903225807</v>
      </c>
      <c r="W460" s="13">
        <v>1345</v>
      </c>
      <c r="X460" s="13">
        <f t="shared" ref="X460:X475" si="239">V460-W460</f>
        <v>14547.612903225807</v>
      </c>
      <c r="Y460" s="12">
        <f t="shared" si="231"/>
        <v>763.54838709677415</v>
      </c>
      <c r="Z460" s="12">
        <f t="shared" si="229"/>
        <v>812</v>
      </c>
      <c r="AA460" s="1">
        <f t="shared" ref="AA460:AA475" si="240">T460*3</f>
        <v>0</v>
      </c>
      <c r="AB460" s="16">
        <f t="shared" si="224"/>
        <v>1575.5483870967741</v>
      </c>
      <c r="AC460" s="16">
        <f t="shared" si="236"/>
        <v>18664.935483870966</v>
      </c>
    </row>
    <row r="461" spans="1:29" x14ac:dyDescent="0.2">
      <c r="A461" s="10" t="s">
        <v>923</v>
      </c>
      <c r="B461" s="11">
        <f t="shared" si="232"/>
        <v>456</v>
      </c>
      <c r="C461" s="11" t="s">
        <v>696</v>
      </c>
      <c r="D461" s="11" t="s">
        <v>67</v>
      </c>
      <c r="F461" s="22">
        <v>42935</v>
      </c>
      <c r="G461" s="11">
        <f>30-1</f>
        <v>29</v>
      </c>
      <c r="H461" s="13">
        <f t="shared" si="227"/>
        <v>4677.4193548387093</v>
      </c>
      <c r="I461" s="13">
        <f t="shared" si="230"/>
        <v>0</v>
      </c>
      <c r="J461" s="13">
        <f t="shared" si="198"/>
        <v>233.87096774193549</v>
      </c>
      <c r="L461" s="13">
        <f t="shared" si="233"/>
        <v>748.38709677419354</v>
      </c>
      <c r="N461" s="13">
        <f t="shared" si="237"/>
        <v>7003.9677419354839</v>
      </c>
      <c r="O461" s="13">
        <v>1369</v>
      </c>
      <c r="P461" s="13">
        <f t="shared" si="238"/>
        <v>14032.645161290322</v>
      </c>
      <c r="Q461" s="12">
        <f t="shared" si="228"/>
        <v>561.29032258064512</v>
      </c>
      <c r="R461" s="12">
        <f t="shared" si="235"/>
        <v>246</v>
      </c>
      <c r="S461" s="21">
        <f t="shared" si="234"/>
        <v>200</v>
      </c>
      <c r="T461" s="13">
        <v>0</v>
      </c>
      <c r="U461" s="13">
        <f t="shared" si="223"/>
        <v>1007.2903225806451</v>
      </c>
      <c r="V461" s="13">
        <f t="shared" si="205"/>
        <v>13025.354838709676</v>
      </c>
      <c r="W461" s="13">
        <v>1345</v>
      </c>
      <c r="X461" s="13">
        <f t="shared" si="239"/>
        <v>11680.354838709676</v>
      </c>
      <c r="Y461" s="12">
        <f t="shared" si="231"/>
        <v>615.08064516129025</v>
      </c>
      <c r="Z461" s="12">
        <f t="shared" si="229"/>
        <v>667</v>
      </c>
      <c r="AA461" s="1">
        <f t="shared" si="240"/>
        <v>0</v>
      </c>
      <c r="AB461" s="16">
        <f t="shared" si="224"/>
        <v>1282.0806451612902</v>
      </c>
      <c r="AC461" s="16">
        <f t="shared" si="236"/>
        <v>15314.725806451612</v>
      </c>
    </row>
    <row r="462" spans="1:29" x14ac:dyDescent="0.2">
      <c r="A462" s="10" t="s">
        <v>924</v>
      </c>
      <c r="B462" s="11">
        <f t="shared" si="232"/>
        <v>457</v>
      </c>
      <c r="C462" s="11" t="s">
        <v>697</v>
      </c>
      <c r="D462" s="11" t="s">
        <v>67</v>
      </c>
      <c r="F462" s="22">
        <v>42936</v>
      </c>
      <c r="G462" s="11">
        <f>32-1</f>
        <v>31</v>
      </c>
      <c r="H462" s="13">
        <f t="shared" si="227"/>
        <v>5000</v>
      </c>
      <c r="I462" s="13">
        <f t="shared" si="230"/>
        <v>0</v>
      </c>
      <c r="J462" s="13">
        <f t="shared" si="198"/>
        <v>250</v>
      </c>
      <c r="L462" s="13">
        <f t="shared" si="233"/>
        <v>800</v>
      </c>
      <c r="N462" s="13">
        <f t="shared" si="237"/>
        <v>7487</v>
      </c>
      <c r="O462" s="13">
        <v>1369</v>
      </c>
      <c r="P462" s="13">
        <f t="shared" si="238"/>
        <v>14906</v>
      </c>
      <c r="Q462" s="12">
        <f t="shared" si="228"/>
        <v>600</v>
      </c>
      <c r="R462" s="12">
        <f t="shared" si="235"/>
        <v>261</v>
      </c>
      <c r="S462" s="21">
        <f t="shared" si="234"/>
        <v>200</v>
      </c>
      <c r="T462" s="13">
        <v>0</v>
      </c>
      <c r="U462" s="13">
        <f t="shared" si="223"/>
        <v>1061</v>
      </c>
      <c r="V462" s="13">
        <f t="shared" si="205"/>
        <v>13845</v>
      </c>
      <c r="W462" s="13">
        <v>1345</v>
      </c>
      <c r="X462" s="13">
        <f t="shared" si="239"/>
        <v>12500</v>
      </c>
      <c r="Y462" s="12">
        <f t="shared" si="231"/>
        <v>657.5</v>
      </c>
      <c r="Z462" s="12">
        <f t="shared" si="229"/>
        <v>709</v>
      </c>
      <c r="AA462" s="1">
        <f t="shared" si="240"/>
        <v>0</v>
      </c>
      <c r="AB462" s="16">
        <f t="shared" si="224"/>
        <v>1366.5</v>
      </c>
      <c r="AC462" s="16">
        <f t="shared" si="236"/>
        <v>16272.5</v>
      </c>
    </row>
    <row r="463" spans="1:29" x14ac:dyDescent="0.2">
      <c r="A463" s="10" t="s">
        <v>315</v>
      </c>
      <c r="B463" s="11">
        <f t="shared" si="232"/>
        <v>458</v>
      </c>
      <c r="C463" s="11" t="s">
        <v>929</v>
      </c>
      <c r="D463" s="11" t="s">
        <v>67</v>
      </c>
      <c r="F463" s="22">
        <v>42948</v>
      </c>
      <c r="G463" s="11">
        <v>37</v>
      </c>
      <c r="H463" s="13">
        <f t="shared" si="227"/>
        <v>5967.7419354838703</v>
      </c>
      <c r="I463" s="13">
        <f t="shared" si="230"/>
        <v>0</v>
      </c>
      <c r="J463" s="13">
        <f t="shared" si="198"/>
        <v>298.38709677419354</v>
      </c>
      <c r="L463" s="13">
        <f t="shared" si="233"/>
        <v>954.83870967741927</v>
      </c>
      <c r="N463" s="13">
        <f t="shared" ref="N463:N475" si="241">((1950+2000)/G$3)*G463</f>
        <v>4714.5161290322585</v>
      </c>
      <c r="P463" s="13">
        <f t="shared" ref="P463:P475" si="242">SUM(H463:O463)</f>
        <v>11935.483870967742</v>
      </c>
      <c r="Q463" s="12">
        <f t="shared" si="228"/>
        <v>716.1290322580644</v>
      </c>
      <c r="R463" s="12">
        <f t="shared" si="235"/>
        <v>209</v>
      </c>
      <c r="S463" s="21">
        <f t="shared" si="234"/>
        <v>200</v>
      </c>
      <c r="T463" s="13">
        <v>0</v>
      </c>
      <c r="U463" s="13">
        <f t="shared" si="223"/>
        <v>1125.1290322580644</v>
      </c>
      <c r="V463" s="13">
        <f t="shared" si="205"/>
        <v>10810.354838709678</v>
      </c>
      <c r="X463" s="13">
        <f t="shared" si="239"/>
        <v>10810.354838709678</v>
      </c>
      <c r="Y463" s="12">
        <f t="shared" si="231"/>
        <v>784.75806451612902</v>
      </c>
      <c r="Z463" s="12">
        <f t="shared" si="229"/>
        <v>567</v>
      </c>
      <c r="AA463" s="1">
        <f t="shared" si="240"/>
        <v>0</v>
      </c>
      <c r="AB463" s="16">
        <f t="shared" si="224"/>
        <v>1351.758064516129</v>
      </c>
      <c r="AC463" s="16">
        <f t="shared" si="236"/>
        <v>13287.241935483871</v>
      </c>
    </row>
    <row r="464" spans="1:29" x14ac:dyDescent="0.2">
      <c r="A464" s="10" t="s">
        <v>315</v>
      </c>
      <c r="B464" s="11">
        <f t="shared" si="232"/>
        <v>459</v>
      </c>
      <c r="C464" s="11" t="s">
        <v>930</v>
      </c>
      <c r="D464" s="11" t="s">
        <v>67</v>
      </c>
      <c r="F464" s="22">
        <v>42961</v>
      </c>
      <c r="G464" s="11">
        <v>36</v>
      </c>
      <c r="H464" s="13">
        <f t="shared" si="227"/>
        <v>5806.4516129032254</v>
      </c>
      <c r="I464" s="13">
        <f t="shared" si="230"/>
        <v>0</v>
      </c>
      <c r="J464" s="13">
        <f t="shared" si="198"/>
        <v>290.32258064516128</v>
      </c>
      <c r="L464" s="13">
        <f t="shared" si="233"/>
        <v>929.0322580645161</v>
      </c>
      <c r="N464" s="13">
        <f t="shared" si="241"/>
        <v>4587.0967741935483</v>
      </c>
      <c r="P464" s="13">
        <f t="shared" si="242"/>
        <v>11612.903225806451</v>
      </c>
      <c r="Q464" s="12">
        <f t="shared" si="228"/>
        <v>696.77419354838707</v>
      </c>
      <c r="R464" s="12">
        <f t="shared" si="235"/>
        <v>204</v>
      </c>
      <c r="S464" s="21">
        <f t="shared" si="234"/>
        <v>200</v>
      </c>
      <c r="T464" s="13">
        <v>0</v>
      </c>
      <c r="U464" s="13">
        <f t="shared" si="223"/>
        <v>1100.7741935483871</v>
      </c>
      <c r="V464" s="13">
        <f t="shared" si="205"/>
        <v>10512.129032258064</v>
      </c>
      <c r="X464" s="13">
        <f t="shared" si="239"/>
        <v>10512.129032258064</v>
      </c>
      <c r="Y464" s="12">
        <f t="shared" si="231"/>
        <v>763.54838709677415</v>
      </c>
      <c r="Z464" s="12">
        <f t="shared" si="229"/>
        <v>552</v>
      </c>
      <c r="AA464" s="1">
        <f t="shared" si="240"/>
        <v>0</v>
      </c>
      <c r="AB464" s="16">
        <f t="shared" si="224"/>
        <v>1315.5483870967741</v>
      </c>
      <c r="AC464" s="16">
        <f t="shared" si="236"/>
        <v>12928.451612903225</v>
      </c>
    </row>
    <row r="465" spans="1:29" x14ac:dyDescent="0.2">
      <c r="A465" s="10" t="s">
        <v>315</v>
      </c>
      <c r="B465" s="11">
        <f t="shared" si="232"/>
        <v>460</v>
      </c>
      <c r="C465" s="11" t="s">
        <v>931</v>
      </c>
      <c r="D465" s="11" t="s">
        <v>67</v>
      </c>
      <c r="F465" s="50">
        <v>43047</v>
      </c>
      <c r="G465" s="11">
        <v>20</v>
      </c>
      <c r="H465" s="13">
        <f t="shared" si="227"/>
        <v>3225.8064516129029</v>
      </c>
      <c r="I465" s="13">
        <f t="shared" si="230"/>
        <v>0</v>
      </c>
      <c r="J465" s="13">
        <f t="shared" si="198"/>
        <v>161.29032258064515</v>
      </c>
      <c r="L465" s="13">
        <f t="shared" si="233"/>
        <v>516.12903225806451</v>
      </c>
      <c r="N465" s="13">
        <f t="shared" si="241"/>
        <v>2548.3870967741937</v>
      </c>
      <c r="P465" s="13">
        <f t="shared" si="242"/>
        <v>6451.6129032258068</v>
      </c>
      <c r="Q465" s="12">
        <f t="shared" si="228"/>
        <v>387.09677419354836</v>
      </c>
      <c r="R465" s="12">
        <f t="shared" si="235"/>
        <v>113</v>
      </c>
      <c r="S465" s="21">
        <f t="shared" si="234"/>
        <v>0</v>
      </c>
      <c r="T465" s="13">
        <v>0</v>
      </c>
      <c r="U465" s="13">
        <f t="shared" si="223"/>
        <v>500.09677419354836</v>
      </c>
      <c r="V465" s="13">
        <f t="shared" si="205"/>
        <v>5951.5161290322585</v>
      </c>
      <c r="X465" s="13">
        <f t="shared" si="239"/>
        <v>5951.5161290322585</v>
      </c>
      <c r="Y465" s="12">
        <f t="shared" si="231"/>
        <v>424.19354838709677</v>
      </c>
      <c r="Z465" s="12">
        <f t="shared" si="229"/>
        <v>307</v>
      </c>
      <c r="AA465" s="1">
        <f t="shared" si="240"/>
        <v>0</v>
      </c>
      <c r="AB465" s="16">
        <f t="shared" si="224"/>
        <v>731.19354838709683</v>
      </c>
      <c r="AC465" s="16">
        <f t="shared" si="236"/>
        <v>7182.8064516129034</v>
      </c>
    </row>
    <row r="466" spans="1:29" x14ac:dyDescent="0.2">
      <c r="A466" s="10" t="s">
        <v>315</v>
      </c>
      <c r="B466" s="11">
        <f t="shared" si="232"/>
        <v>461</v>
      </c>
      <c r="C466" s="11" t="s">
        <v>932</v>
      </c>
      <c r="D466" s="11" t="s">
        <v>67</v>
      </c>
      <c r="F466" s="50">
        <v>43077</v>
      </c>
      <c r="G466" s="11">
        <v>21</v>
      </c>
      <c r="H466" s="13">
        <f t="shared" si="227"/>
        <v>3387.0967741935483</v>
      </c>
      <c r="I466" s="13">
        <f t="shared" si="230"/>
        <v>0</v>
      </c>
      <c r="J466" s="13">
        <f t="shared" si="198"/>
        <v>169.35483870967744</v>
      </c>
      <c r="L466" s="13">
        <f t="shared" si="233"/>
        <v>541.93548387096769</v>
      </c>
      <c r="N466" s="13">
        <f t="shared" si="241"/>
        <v>2675.8064516129034</v>
      </c>
      <c r="P466" s="13">
        <f t="shared" si="242"/>
        <v>6774.1935483870966</v>
      </c>
      <c r="Q466" s="12">
        <f t="shared" si="228"/>
        <v>406.45161290322579</v>
      </c>
      <c r="R466" s="12">
        <f t="shared" si="235"/>
        <v>119</v>
      </c>
      <c r="S466" s="21">
        <f t="shared" si="234"/>
        <v>0</v>
      </c>
      <c r="T466" s="13">
        <v>0</v>
      </c>
      <c r="U466" s="13">
        <f t="shared" si="223"/>
        <v>525.45161290322585</v>
      </c>
      <c r="V466" s="13">
        <f t="shared" si="205"/>
        <v>6248.7419354838712</v>
      </c>
      <c r="X466" s="13">
        <f t="shared" si="239"/>
        <v>6248.7419354838712</v>
      </c>
      <c r="Y466" s="12">
        <f t="shared" si="231"/>
        <v>445.40322580645164</v>
      </c>
      <c r="Z466" s="12">
        <f t="shared" si="229"/>
        <v>322</v>
      </c>
      <c r="AA466" s="1">
        <f t="shared" si="240"/>
        <v>0</v>
      </c>
      <c r="AB466" s="16">
        <f t="shared" si="224"/>
        <v>767.4032258064517</v>
      </c>
      <c r="AC466" s="16">
        <f t="shared" si="236"/>
        <v>7541.5967741935483</v>
      </c>
    </row>
    <row r="467" spans="1:29" x14ac:dyDescent="0.2">
      <c r="A467" s="10" t="s">
        <v>315</v>
      </c>
      <c r="B467" s="11">
        <f t="shared" si="232"/>
        <v>462</v>
      </c>
      <c r="C467" s="11" t="s">
        <v>933</v>
      </c>
      <c r="D467" s="11" t="s">
        <v>67</v>
      </c>
      <c r="F467" s="50">
        <v>43077</v>
      </c>
      <c r="G467" s="11">
        <v>23</v>
      </c>
      <c r="H467" s="13">
        <f t="shared" si="227"/>
        <v>3709.6774193548385</v>
      </c>
      <c r="I467" s="13">
        <f t="shared" si="230"/>
        <v>0</v>
      </c>
      <c r="J467" s="13">
        <f t="shared" si="198"/>
        <v>185.48387096774195</v>
      </c>
      <c r="L467" s="13">
        <f t="shared" si="233"/>
        <v>593.54838709677415</v>
      </c>
      <c r="N467" s="13">
        <f t="shared" si="241"/>
        <v>2930.6451612903224</v>
      </c>
      <c r="P467" s="13">
        <f t="shared" si="242"/>
        <v>7419.3548387096762</v>
      </c>
      <c r="Q467" s="12">
        <f t="shared" si="228"/>
        <v>445.16129032258061</v>
      </c>
      <c r="R467" s="12">
        <f t="shared" si="235"/>
        <v>130</v>
      </c>
      <c r="S467" s="21">
        <f t="shared" si="234"/>
        <v>0</v>
      </c>
      <c r="T467" s="13">
        <v>0</v>
      </c>
      <c r="U467" s="13">
        <f t="shared" si="223"/>
        <v>575.16129032258061</v>
      </c>
      <c r="V467" s="13">
        <f t="shared" si="205"/>
        <v>6844.1935483870957</v>
      </c>
      <c r="X467" s="13">
        <f t="shared" si="239"/>
        <v>6844.1935483870957</v>
      </c>
      <c r="Y467" s="12">
        <f t="shared" si="231"/>
        <v>487.82258064516128</v>
      </c>
      <c r="Z467" s="12">
        <f t="shared" si="229"/>
        <v>353</v>
      </c>
      <c r="AA467" s="1">
        <f t="shared" si="240"/>
        <v>0</v>
      </c>
      <c r="AB467" s="16">
        <f t="shared" si="224"/>
        <v>840.82258064516122</v>
      </c>
      <c r="AC467" s="16">
        <f t="shared" si="236"/>
        <v>8260.1774193548372</v>
      </c>
    </row>
    <row r="468" spans="1:29" x14ac:dyDescent="0.2">
      <c r="A468" s="10" t="s">
        <v>315</v>
      </c>
      <c r="B468" s="11">
        <f t="shared" si="232"/>
        <v>463</v>
      </c>
      <c r="C468" s="11" t="s">
        <v>934</v>
      </c>
      <c r="D468" s="11" t="s">
        <v>67</v>
      </c>
      <c r="F468" s="50">
        <v>43077</v>
      </c>
      <c r="G468" s="11">
        <v>23</v>
      </c>
      <c r="H468" s="13">
        <f t="shared" si="227"/>
        <v>3709.6774193548385</v>
      </c>
      <c r="I468" s="13">
        <f t="shared" si="230"/>
        <v>0</v>
      </c>
      <c r="J468" s="13">
        <f t="shared" si="198"/>
        <v>185.48387096774195</v>
      </c>
      <c r="L468" s="13">
        <f t="shared" si="233"/>
        <v>593.54838709677415</v>
      </c>
      <c r="N468" s="13">
        <f t="shared" si="241"/>
        <v>2930.6451612903224</v>
      </c>
      <c r="P468" s="13">
        <f t="shared" si="242"/>
        <v>7419.3548387096762</v>
      </c>
      <c r="Q468" s="12">
        <f t="shared" si="228"/>
        <v>445.16129032258061</v>
      </c>
      <c r="R468" s="12">
        <f t="shared" si="235"/>
        <v>130</v>
      </c>
      <c r="S468" s="21">
        <f t="shared" si="234"/>
        <v>0</v>
      </c>
      <c r="T468" s="13">
        <v>0</v>
      </c>
      <c r="U468" s="13">
        <f t="shared" si="223"/>
        <v>575.16129032258061</v>
      </c>
      <c r="V468" s="13">
        <f t="shared" si="205"/>
        <v>6844.1935483870957</v>
      </c>
      <c r="X468" s="13">
        <f t="shared" si="239"/>
        <v>6844.1935483870957</v>
      </c>
      <c r="Y468" s="12">
        <f t="shared" si="231"/>
        <v>487.82258064516128</v>
      </c>
      <c r="Z468" s="12">
        <f t="shared" si="229"/>
        <v>353</v>
      </c>
      <c r="AA468" s="1">
        <f t="shared" si="240"/>
        <v>0</v>
      </c>
      <c r="AB468" s="16">
        <f t="shared" si="224"/>
        <v>840.82258064516122</v>
      </c>
      <c r="AC468" s="16">
        <f t="shared" si="236"/>
        <v>8260.1774193548372</v>
      </c>
    </row>
    <row r="469" spans="1:29" x14ac:dyDescent="0.2">
      <c r="A469" s="10" t="s">
        <v>315</v>
      </c>
      <c r="B469" s="11">
        <f t="shared" si="232"/>
        <v>464</v>
      </c>
      <c r="C469" s="11" t="s">
        <v>935</v>
      </c>
      <c r="D469" s="11" t="s">
        <v>67</v>
      </c>
      <c r="F469" s="50">
        <v>43077</v>
      </c>
      <c r="G469" s="11">
        <v>22</v>
      </c>
      <c r="H469" s="13">
        <f t="shared" si="227"/>
        <v>3548.3870967741932</v>
      </c>
      <c r="I469" s="13">
        <f t="shared" si="230"/>
        <v>0</v>
      </c>
      <c r="J469" s="13">
        <f t="shared" si="198"/>
        <v>177.41935483870967</v>
      </c>
      <c r="L469" s="13">
        <f t="shared" si="233"/>
        <v>567.74193548387098</v>
      </c>
      <c r="N469" s="13">
        <f t="shared" si="241"/>
        <v>2803.2258064516132</v>
      </c>
      <c r="P469" s="13">
        <f t="shared" si="242"/>
        <v>7096.7741935483864</v>
      </c>
      <c r="Q469" s="12">
        <f t="shared" si="228"/>
        <v>425.80645161290317</v>
      </c>
      <c r="R469" s="12">
        <f t="shared" si="235"/>
        <v>125</v>
      </c>
      <c r="S469" s="21">
        <f t="shared" si="234"/>
        <v>0</v>
      </c>
      <c r="T469" s="13">
        <v>0</v>
      </c>
      <c r="U469" s="13">
        <f t="shared" si="223"/>
        <v>550.80645161290317</v>
      </c>
      <c r="V469" s="13">
        <f t="shared" si="205"/>
        <v>6545.967741935483</v>
      </c>
      <c r="X469" s="13">
        <f t="shared" si="239"/>
        <v>6545.967741935483</v>
      </c>
      <c r="Y469" s="12">
        <f t="shared" si="231"/>
        <v>466.61290322580641</v>
      </c>
      <c r="Z469" s="12">
        <f t="shared" si="229"/>
        <v>338</v>
      </c>
      <c r="AA469" s="1">
        <f t="shared" si="240"/>
        <v>0</v>
      </c>
      <c r="AB469" s="16">
        <f t="shared" si="224"/>
        <v>804.61290322580635</v>
      </c>
      <c r="AC469" s="16">
        <f t="shared" si="236"/>
        <v>7901.3870967741932</v>
      </c>
    </row>
    <row r="470" spans="1:29" x14ac:dyDescent="0.2">
      <c r="A470" s="10" t="s">
        <v>315</v>
      </c>
      <c r="B470" s="11">
        <f t="shared" si="232"/>
        <v>465</v>
      </c>
      <c r="C470" s="11" t="s">
        <v>936</v>
      </c>
      <c r="D470" s="11" t="s">
        <v>67</v>
      </c>
      <c r="F470" s="22">
        <v>42963</v>
      </c>
      <c r="G470" s="11">
        <v>22</v>
      </c>
      <c r="H470" s="13">
        <f t="shared" si="227"/>
        <v>3548.3870967741932</v>
      </c>
      <c r="I470" s="13">
        <f t="shared" si="230"/>
        <v>0</v>
      </c>
      <c r="J470" s="13">
        <f t="shared" si="198"/>
        <v>177.41935483870967</v>
      </c>
      <c r="L470" s="13">
        <f t="shared" si="233"/>
        <v>567.74193548387098</v>
      </c>
      <c r="N470" s="13">
        <f t="shared" si="241"/>
        <v>2803.2258064516132</v>
      </c>
      <c r="P470" s="13">
        <f t="shared" si="242"/>
        <v>7096.7741935483864</v>
      </c>
      <c r="Q470" s="12">
        <f t="shared" si="228"/>
        <v>425.80645161290317</v>
      </c>
      <c r="R470" s="12">
        <f t="shared" si="235"/>
        <v>125</v>
      </c>
      <c r="S470" s="21">
        <f t="shared" si="234"/>
        <v>0</v>
      </c>
      <c r="T470" s="13">
        <v>0</v>
      </c>
      <c r="U470" s="13">
        <f t="shared" si="223"/>
        <v>550.80645161290317</v>
      </c>
      <c r="V470" s="13">
        <f t="shared" si="205"/>
        <v>6545.967741935483</v>
      </c>
      <c r="X470" s="13">
        <f t="shared" si="239"/>
        <v>6545.967741935483</v>
      </c>
      <c r="Y470" s="12">
        <f t="shared" si="231"/>
        <v>466.61290322580641</v>
      </c>
      <c r="Z470" s="12">
        <f t="shared" si="229"/>
        <v>338</v>
      </c>
      <c r="AA470" s="1">
        <f t="shared" si="240"/>
        <v>0</v>
      </c>
      <c r="AB470" s="16">
        <f t="shared" si="224"/>
        <v>804.61290322580635</v>
      </c>
      <c r="AC470" s="16">
        <f t="shared" si="236"/>
        <v>7901.3870967741932</v>
      </c>
    </row>
    <row r="471" spans="1:29" x14ac:dyDescent="0.2">
      <c r="A471" s="10" t="s">
        <v>315</v>
      </c>
      <c r="B471" s="11">
        <f t="shared" si="232"/>
        <v>466</v>
      </c>
      <c r="C471" s="11" t="s">
        <v>937</v>
      </c>
      <c r="D471" s="11" t="s">
        <v>67</v>
      </c>
      <c r="F471" s="22">
        <v>42963</v>
      </c>
      <c r="G471" s="11">
        <v>17</v>
      </c>
      <c r="H471" s="13">
        <f t="shared" si="227"/>
        <v>2741.9354838709678</v>
      </c>
      <c r="I471" s="13">
        <f t="shared" si="230"/>
        <v>0</v>
      </c>
      <c r="J471" s="13">
        <f t="shared" si="198"/>
        <v>137.09677419354838</v>
      </c>
      <c r="L471" s="13">
        <f t="shared" si="233"/>
        <v>438.70967741935482</v>
      </c>
      <c r="N471" s="13">
        <f t="shared" si="241"/>
        <v>2166.1290322580644</v>
      </c>
      <c r="P471" s="13">
        <f t="shared" si="242"/>
        <v>5483.8709677419356</v>
      </c>
      <c r="Q471" s="12">
        <f t="shared" si="228"/>
        <v>329.0322580645161</v>
      </c>
      <c r="R471" s="12">
        <f t="shared" si="235"/>
        <v>96</v>
      </c>
      <c r="S471" s="21">
        <f t="shared" si="234"/>
        <v>0</v>
      </c>
      <c r="T471" s="13">
        <v>0</v>
      </c>
      <c r="U471" s="13">
        <f t="shared" si="223"/>
        <v>425.0322580645161</v>
      </c>
      <c r="V471" s="13">
        <f t="shared" si="205"/>
        <v>5058.8387096774195</v>
      </c>
      <c r="X471" s="13">
        <f t="shared" si="239"/>
        <v>5058.8387096774195</v>
      </c>
      <c r="Y471" s="12">
        <f t="shared" si="231"/>
        <v>360.56451612903226</v>
      </c>
      <c r="Z471" s="12">
        <f t="shared" si="229"/>
        <v>261</v>
      </c>
      <c r="AA471" s="1">
        <f t="shared" si="240"/>
        <v>0</v>
      </c>
      <c r="AB471" s="16">
        <f t="shared" si="224"/>
        <v>621.5645161290322</v>
      </c>
      <c r="AC471" s="16">
        <f t="shared" si="236"/>
        <v>6105.4354838709678</v>
      </c>
    </row>
    <row r="472" spans="1:29" x14ac:dyDescent="0.2">
      <c r="A472" s="10" t="s">
        <v>315</v>
      </c>
      <c r="B472" s="11">
        <f t="shared" si="232"/>
        <v>467</v>
      </c>
      <c r="C472" s="11" t="s">
        <v>938</v>
      </c>
      <c r="D472" s="11" t="s">
        <v>67</v>
      </c>
      <c r="F472" s="22">
        <v>42964</v>
      </c>
      <c r="G472" s="11">
        <v>17</v>
      </c>
      <c r="H472" s="13">
        <f t="shared" si="227"/>
        <v>2741.9354838709678</v>
      </c>
      <c r="I472" s="13">
        <f t="shared" si="230"/>
        <v>0</v>
      </c>
      <c r="J472" s="13">
        <f t="shared" si="198"/>
        <v>137.09677419354838</v>
      </c>
      <c r="L472" s="13">
        <f t="shared" si="233"/>
        <v>438.70967741935482</v>
      </c>
      <c r="N472" s="13">
        <f t="shared" si="241"/>
        <v>2166.1290322580644</v>
      </c>
      <c r="P472" s="13">
        <f t="shared" si="242"/>
        <v>5483.8709677419356</v>
      </c>
      <c r="Q472" s="12">
        <f t="shared" si="228"/>
        <v>329.0322580645161</v>
      </c>
      <c r="R472" s="12">
        <f t="shared" si="235"/>
        <v>96</v>
      </c>
      <c r="S472" s="21">
        <f t="shared" si="234"/>
        <v>0</v>
      </c>
      <c r="T472" s="13">
        <v>0</v>
      </c>
      <c r="U472" s="13">
        <f t="shared" si="223"/>
        <v>425.0322580645161</v>
      </c>
      <c r="V472" s="13">
        <f t="shared" si="205"/>
        <v>5058.8387096774195</v>
      </c>
      <c r="X472" s="13">
        <f t="shared" si="239"/>
        <v>5058.8387096774195</v>
      </c>
      <c r="Y472" s="12">
        <f t="shared" si="231"/>
        <v>360.56451612903226</v>
      </c>
      <c r="Z472" s="12">
        <f t="shared" si="229"/>
        <v>261</v>
      </c>
      <c r="AA472" s="1">
        <f t="shared" si="240"/>
        <v>0</v>
      </c>
      <c r="AB472" s="16">
        <f t="shared" si="224"/>
        <v>621.5645161290322</v>
      </c>
      <c r="AC472" s="16">
        <f t="shared" si="236"/>
        <v>6105.4354838709678</v>
      </c>
    </row>
    <row r="473" spans="1:29" x14ac:dyDescent="0.2">
      <c r="A473" s="10" t="s">
        <v>315</v>
      </c>
      <c r="B473" s="11">
        <f t="shared" si="232"/>
        <v>468</v>
      </c>
      <c r="C473" s="11" t="s">
        <v>939</v>
      </c>
      <c r="D473" s="11" t="s">
        <v>67</v>
      </c>
      <c r="F473" s="22">
        <v>42968</v>
      </c>
      <c r="G473" s="11">
        <v>17</v>
      </c>
      <c r="H473" s="13">
        <f t="shared" si="227"/>
        <v>2741.9354838709678</v>
      </c>
      <c r="I473" s="13">
        <f t="shared" si="230"/>
        <v>0</v>
      </c>
      <c r="J473" s="13">
        <f t="shared" si="198"/>
        <v>137.09677419354838</v>
      </c>
      <c r="L473" s="13">
        <f t="shared" si="233"/>
        <v>438.70967741935482</v>
      </c>
      <c r="N473" s="13">
        <f t="shared" si="241"/>
        <v>2166.1290322580644</v>
      </c>
      <c r="P473" s="13">
        <f t="shared" si="242"/>
        <v>5483.8709677419356</v>
      </c>
      <c r="Q473" s="12">
        <f t="shared" si="228"/>
        <v>329.0322580645161</v>
      </c>
      <c r="R473" s="12">
        <f t="shared" si="235"/>
        <v>96</v>
      </c>
      <c r="S473" s="21">
        <f t="shared" si="234"/>
        <v>0</v>
      </c>
      <c r="T473" s="13">
        <v>0</v>
      </c>
      <c r="U473" s="13">
        <f t="shared" si="223"/>
        <v>425.0322580645161</v>
      </c>
      <c r="V473" s="13">
        <f t="shared" si="205"/>
        <v>5058.8387096774195</v>
      </c>
      <c r="X473" s="13">
        <f t="shared" si="239"/>
        <v>5058.8387096774195</v>
      </c>
      <c r="Y473" s="12">
        <f t="shared" si="231"/>
        <v>360.56451612903226</v>
      </c>
      <c r="Z473" s="12">
        <f t="shared" si="229"/>
        <v>261</v>
      </c>
      <c r="AA473" s="1">
        <f t="shared" si="240"/>
        <v>0</v>
      </c>
      <c r="AB473" s="16">
        <f t="shared" si="224"/>
        <v>621.5645161290322</v>
      </c>
      <c r="AC473" s="16">
        <f t="shared" si="236"/>
        <v>6105.4354838709678</v>
      </c>
    </row>
    <row r="474" spans="1:29" x14ac:dyDescent="0.2">
      <c r="A474" s="10" t="s">
        <v>315</v>
      </c>
      <c r="B474" s="11">
        <f t="shared" si="232"/>
        <v>469</v>
      </c>
      <c r="C474" s="11" t="s">
        <v>940</v>
      </c>
      <c r="D474" s="11" t="s">
        <v>67</v>
      </c>
      <c r="F474" s="22">
        <v>42968</v>
      </c>
      <c r="G474" s="11">
        <v>10</v>
      </c>
      <c r="H474" s="13">
        <f t="shared" si="227"/>
        <v>1612.9032258064515</v>
      </c>
      <c r="I474" s="13">
        <f t="shared" si="230"/>
        <v>0</v>
      </c>
      <c r="J474" s="13">
        <f t="shared" si="198"/>
        <v>80.645161290322577</v>
      </c>
      <c r="L474" s="13">
        <f t="shared" si="233"/>
        <v>258.06451612903226</v>
      </c>
      <c r="N474" s="13">
        <f t="shared" si="241"/>
        <v>1274.1935483870968</v>
      </c>
      <c r="P474" s="13">
        <f t="shared" si="242"/>
        <v>3225.8064516129034</v>
      </c>
      <c r="Q474" s="12">
        <f t="shared" si="228"/>
        <v>193.54838709677418</v>
      </c>
      <c r="R474" s="12">
        <f t="shared" si="235"/>
        <v>57</v>
      </c>
      <c r="S474" s="21">
        <f t="shared" si="234"/>
        <v>0</v>
      </c>
      <c r="T474" s="13">
        <v>0</v>
      </c>
      <c r="U474" s="13">
        <f t="shared" si="223"/>
        <v>250.54838709677418</v>
      </c>
      <c r="V474" s="13">
        <f t="shared" si="205"/>
        <v>2975.2580645161293</v>
      </c>
      <c r="X474" s="13">
        <f t="shared" si="239"/>
        <v>2975.2580645161293</v>
      </c>
      <c r="Y474" s="12">
        <f t="shared" si="231"/>
        <v>212.09677419354838</v>
      </c>
      <c r="Z474" s="12">
        <f t="shared" si="229"/>
        <v>154</v>
      </c>
      <c r="AA474" s="1">
        <f t="shared" si="240"/>
        <v>0</v>
      </c>
      <c r="AB474" s="16">
        <f t="shared" si="224"/>
        <v>366.09677419354841</v>
      </c>
      <c r="AC474" s="16">
        <f t="shared" si="236"/>
        <v>3591.9032258064517</v>
      </c>
    </row>
    <row r="475" spans="1:29" x14ac:dyDescent="0.2">
      <c r="A475" s="10" t="s">
        <v>315</v>
      </c>
      <c r="B475" s="11">
        <f t="shared" si="232"/>
        <v>470</v>
      </c>
      <c r="C475" s="11" t="s">
        <v>941</v>
      </c>
      <c r="D475" s="11" t="s">
        <v>67</v>
      </c>
      <c r="F475" s="22">
        <v>42948</v>
      </c>
      <c r="G475" s="11">
        <v>12</v>
      </c>
      <c r="H475" s="13">
        <f t="shared" si="227"/>
        <v>1935.483870967742</v>
      </c>
      <c r="I475" s="13">
        <f t="shared" si="230"/>
        <v>0</v>
      </c>
      <c r="J475" s="13">
        <f t="shared" si="198"/>
        <v>96.774193548387103</v>
      </c>
      <c r="L475" s="13">
        <f t="shared" si="233"/>
        <v>309.67741935483866</v>
      </c>
      <c r="N475" s="13">
        <f t="shared" si="241"/>
        <v>1529.0322580645161</v>
      </c>
      <c r="P475" s="13">
        <f t="shared" si="242"/>
        <v>3870.9677419354839</v>
      </c>
      <c r="Q475" s="12">
        <f t="shared" si="228"/>
        <v>232.25806451612902</v>
      </c>
      <c r="R475" s="12">
        <f t="shared" si="235"/>
        <v>68</v>
      </c>
      <c r="S475" s="21">
        <f t="shared" si="234"/>
        <v>0</v>
      </c>
      <c r="T475" s="13">
        <v>0</v>
      </c>
      <c r="U475" s="13">
        <f t="shared" si="223"/>
        <v>300.25806451612902</v>
      </c>
      <c r="V475" s="13">
        <f t="shared" si="205"/>
        <v>3570.7096774193551</v>
      </c>
      <c r="X475" s="13">
        <f t="shared" si="239"/>
        <v>3570.7096774193551</v>
      </c>
      <c r="Y475" s="12">
        <f t="shared" si="231"/>
        <v>254.51612903225808</v>
      </c>
      <c r="Z475" s="12">
        <f t="shared" si="229"/>
        <v>184</v>
      </c>
      <c r="AA475" s="1">
        <f t="shared" si="240"/>
        <v>0</v>
      </c>
      <c r="AB475" s="16">
        <f t="shared" si="224"/>
        <v>438.51612903225805</v>
      </c>
      <c r="AC475" s="16">
        <f t="shared" si="236"/>
        <v>4309.4838709677424</v>
      </c>
    </row>
    <row r="476" spans="1:29" x14ac:dyDescent="0.2">
      <c r="A476" s="10"/>
      <c r="F476" s="22"/>
      <c r="Q476" s="12"/>
      <c r="R476" s="12"/>
      <c r="S476" s="21"/>
      <c r="Y476" s="12"/>
      <c r="Z476" s="12"/>
      <c r="AA476" s="1"/>
      <c r="AB476" s="16"/>
      <c r="AC476" s="16"/>
    </row>
    <row r="477" spans="1:29" x14ac:dyDescent="0.2">
      <c r="C477" s="17" t="s">
        <v>669</v>
      </c>
      <c r="G477" s="23">
        <f>SUM(G6:G475)</f>
        <v>12821.5</v>
      </c>
      <c r="H477" s="23">
        <f t="shared" ref="H477:AC477" si="243">SUM(H6:H475)</f>
        <v>2067983.8709677425</v>
      </c>
      <c r="I477" s="23">
        <f t="shared" si="243"/>
        <v>0</v>
      </c>
      <c r="J477" s="23">
        <f t="shared" si="243"/>
        <v>103399.19354838735</v>
      </c>
      <c r="K477" s="23">
        <f t="shared" si="243"/>
        <v>0</v>
      </c>
      <c r="L477" s="23">
        <f t="shared" si="243"/>
        <v>332632.25806451647</v>
      </c>
      <c r="M477" s="23">
        <f t="shared" si="243"/>
        <v>0</v>
      </c>
      <c r="N477" s="23">
        <f t="shared" si="243"/>
        <v>2162580.8709677411</v>
      </c>
      <c r="O477" s="23">
        <f t="shared" si="243"/>
        <v>64153</v>
      </c>
      <c r="P477" s="23">
        <f t="shared" si="243"/>
        <v>4730749.1935483795</v>
      </c>
      <c r="Q477" s="23">
        <f t="shared" si="243"/>
        <v>248158.06451612915</v>
      </c>
      <c r="R477" s="23">
        <f t="shared" si="243"/>
        <v>82801</v>
      </c>
      <c r="S477" s="23">
        <f t="shared" si="243"/>
        <v>28975</v>
      </c>
      <c r="T477" s="23">
        <f t="shared" si="243"/>
        <v>0</v>
      </c>
      <c r="U477" s="23">
        <f t="shared" si="243"/>
        <v>359934.06451612839</v>
      </c>
      <c r="V477" s="23">
        <f t="shared" si="243"/>
        <v>4370815.1290322598</v>
      </c>
      <c r="W477" s="23">
        <f t="shared" si="243"/>
        <v>39675</v>
      </c>
      <c r="X477" s="23">
        <f t="shared" si="243"/>
        <v>4331140.1290322607</v>
      </c>
      <c r="Y477" s="23">
        <f t="shared" si="243"/>
        <v>271939.87903225818</v>
      </c>
      <c r="Z477" s="23">
        <f t="shared" si="243"/>
        <v>224378</v>
      </c>
      <c r="AA477" s="23">
        <f t="shared" si="243"/>
        <v>0</v>
      </c>
      <c r="AB477" s="23">
        <f t="shared" si="243"/>
        <v>496317.87903225829</v>
      </c>
      <c r="AC477" s="23">
        <f t="shared" si="243"/>
        <v>5227067.0725806449</v>
      </c>
    </row>
    <row r="1048464" spans="3:3" x14ac:dyDescent="0.2">
      <c r="C1048464" s="11" t="str">
        <f>UPPER(C1048458)</f>
        <v/>
      </c>
    </row>
  </sheetData>
  <mergeCells count="3">
    <mergeCell ref="H4:N4"/>
    <mergeCell ref="Q4:T4"/>
    <mergeCell ref="Y4:AA4"/>
  </mergeCells>
  <conditionalFormatting sqref="C390:C391">
    <cfRule type="duplicateValues" dxfId="859" priority="3"/>
  </conditionalFormatting>
  <conditionalFormatting sqref="C390:C391">
    <cfRule type="duplicateValues" dxfId="858" priority="1"/>
    <cfRule type="duplicateValues" dxfId="857" priority="2"/>
  </conditionalFormatting>
  <printOptions horizontalCentered="1" headings="1"/>
  <pageMargins left="0.24" right="0.15" top="0.35" bottom="0.23" header="0.2" footer="0.2"/>
  <pageSetup paperSize="9" scale="62" orientation="landscape" verticalDpi="0" r:id="rId1"/>
  <headerFooter>
    <oddHeader>&amp;C&amp;"-,Italic"Salary statement for the Month of July-17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48534"/>
  <sheetViews>
    <sheetView workbookViewId="0">
      <pane xSplit="7" ySplit="5" topLeftCell="H128" activePane="bottomRight" state="frozen"/>
      <selection pane="topRight" activeCell="H1" sqref="H1"/>
      <selection pane="bottomLeft" activeCell="A6" sqref="A6"/>
      <selection pane="bottomRight" activeCell="C131" sqref="C131:C138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4.28515625" style="11" bestFit="1" customWidth="1"/>
    <col min="6" max="6" width="10.710937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6" width="8.5703125" style="13" hidden="1" customWidth="1"/>
    <col min="17" max="17" width="10.85546875" style="13" customWidth="1"/>
    <col min="18" max="18" width="7.85546875" style="13" customWidth="1"/>
    <col min="19" max="20" width="8.5703125" style="13" customWidth="1"/>
    <col min="21" max="21" width="6.85546875" style="13" hidden="1" customWidth="1"/>
    <col min="22" max="22" width="8.5703125" style="13" bestFit="1" customWidth="1"/>
    <col min="23" max="23" width="9" style="13" customWidth="1"/>
    <col min="24" max="24" width="9.7109375" style="13" bestFit="1" customWidth="1"/>
    <col min="25" max="25" width="9.140625" style="13" bestFit="1" customWidth="1"/>
    <col min="26" max="26" width="9.85546875" style="11" customWidth="1"/>
    <col min="27" max="27" width="9.42578125" style="11" customWidth="1"/>
    <col min="28" max="28" width="6.85546875" style="11" hidden="1" customWidth="1"/>
    <col min="29" max="29" width="8.42578125" style="11" customWidth="1"/>
    <col min="30" max="30" width="9.5703125" style="11" customWidth="1"/>
    <col min="31" max="16384" width="9.140625" style="11"/>
  </cols>
  <sheetData>
    <row r="1" spans="1:30" ht="13.5" x14ac:dyDescent="0.25">
      <c r="B1" s="7"/>
      <c r="C1" s="11" t="s">
        <v>24</v>
      </c>
    </row>
    <row r="2" spans="1:30" x14ac:dyDescent="0.2">
      <c r="B2" s="18"/>
      <c r="C2" s="11" t="s">
        <v>1170</v>
      </c>
    </row>
    <row r="3" spans="1:30" x14ac:dyDescent="0.2">
      <c r="G3" s="14">
        <v>31</v>
      </c>
    </row>
    <row r="4" spans="1:30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58" t="s">
        <v>4</v>
      </c>
      <c r="I4" s="158"/>
      <c r="J4" s="158"/>
      <c r="K4" s="158"/>
      <c r="L4" s="158"/>
      <c r="M4" s="158"/>
      <c r="N4" s="158"/>
      <c r="O4" s="58"/>
      <c r="P4" s="58"/>
      <c r="Q4" s="15" t="s">
        <v>5</v>
      </c>
      <c r="R4" s="158" t="s">
        <v>7</v>
      </c>
      <c r="S4" s="158"/>
      <c r="T4" s="158"/>
      <c r="U4" s="158"/>
      <c r="V4" s="15" t="s">
        <v>5</v>
      </c>
      <c r="W4" s="15" t="s">
        <v>8</v>
      </c>
      <c r="X4" s="5"/>
      <c r="Y4" s="15" t="s">
        <v>20</v>
      </c>
      <c r="Z4" s="159" t="s">
        <v>9</v>
      </c>
      <c r="AA4" s="159"/>
      <c r="AB4" s="159"/>
      <c r="AC4" s="4" t="s">
        <v>5</v>
      </c>
      <c r="AD4" s="4" t="s">
        <v>10</v>
      </c>
    </row>
    <row r="5" spans="1:30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69</v>
      </c>
      <c r="P5" s="5" t="s">
        <v>1169</v>
      </c>
      <c r="Q5" s="15" t="s">
        <v>16</v>
      </c>
      <c r="R5" s="15" t="s">
        <v>17</v>
      </c>
      <c r="S5" s="15" t="s">
        <v>18</v>
      </c>
      <c r="T5" s="15" t="s">
        <v>19</v>
      </c>
      <c r="U5" s="5" t="s">
        <v>31</v>
      </c>
      <c r="V5" s="15" t="s">
        <v>16</v>
      </c>
      <c r="W5" s="15" t="s">
        <v>20</v>
      </c>
      <c r="X5" s="8" t="s">
        <v>21</v>
      </c>
      <c r="Y5" s="15" t="s">
        <v>288</v>
      </c>
      <c r="Z5" s="4" t="s">
        <v>17</v>
      </c>
      <c r="AA5" s="4" t="s">
        <v>18</v>
      </c>
      <c r="AB5" s="9" t="s">
        <v>31</v>
      </c>
      <c r="AC5" s="9" t="s">
        <v>16</v>
      </c>
      <c r="AD5" s="9" t="s">
        <v>20</v>
      </c>
    </row>
    <row r="6" spans="1:30" x14ac:dyDescent="0.2">
      <c r="A6" s="10" t="s">
        <v>25</v>
      </c>
      <c r="B6" s="11">
        <v>1</v>
      </c>
      <c r="C6" s="11" t="s">
        <v>23</v>
      </c>
      <c r="D6" s="19" t="s">
        <v>51</v>
      </c>
      <c r="E6" s="11" t="s">
        <v>238</v>
      </c>
      <c r="F6" s="20">
        <v>42005</v>
      </c>
      <c r="G6" s="11">
        <v>27</v>
      </c>
      <c r="H6" s="13">
        <f t="shared" ref="H6:H69" si="0">(5000/G$3)*G6</f>
        <v>4354.8387096774195</v>
      </c>
      <c r="I6" s="13">
        <f>((0)/G$3)*G6</f>
        <v>0</v>
      </c>
      <c r="J6" s="13">
        <f t="shared" ref="J6:J69" si="1">(H6+I6)*5%</f>
        <v>217.74193548387098</v>
      </c>
      <c r="L6" s="13">
        <f>((800)/G$3)*G6</f>
        <v>696.77419354838707</v>
      </c>
      <c r="N6" s="13">
        <f>((4950+1200-36+1216+610)/G$3)*G6</f>
        <v>6915.4838709677415</v>
      </c>
      <c r="O6" s="13">
        <v>0</v>
      </c>
      <c r="Q6" s="13">
        <f>SUM(H6:P6)</f>
        <v>12184.83870967742</v>
      </c>
      <c r="R6" s="12">
        <f t="shared" ref="R6:R69" si="2">(H6+I6)*12%</f>
        <v>522.58064516129036</v>
      </c>
      <c r="S6" s="12">
        <f t="shared" ref="S6:S69" si="3">ROUNDUP((Q6*1.75%),0)</f>
        <v>214</v>
      </c>
      <c r="T6" s="21">
        <f>+IF(Q6&lt;2501,0,IF((Q6&gt;2501)*(Q6&lt;3500),0,IF((Q6&gt;3501)*(Q6&lt;7500),0,IF((Q6&gt;7501)*(Q6&lt;10000),175,200))))</f>
        <v>200</v>
      </c>
      <c r="U6" s="13">
        <v>0</v>
      </c>
      <c r="V6" s="13">
        <f t="shared" ref="V6:V8" si="4">SUM(R6:U6)</f>
        <v>936.58064516129036</v>
      </c>
      <c r="W6" s="13">
        <f t="shared" ref="W6:W69" si="5">Q6-V6</f>
        <v>11248.258064516131</v>
      </c>
      <c r="Y6" s="13">
        <f>W6-X6</f>
        <v>11248.258064516131</v>
      </c>
      <c r="Z6" s="12">
        <f>(H6+I6)*13.15%</f>
        <v>572.66129032258073</v>
      </c>
      <c r="AA6" s="12">
        <f t="shared" ref="AA6:AA69" si="6">CEILING((Q6)*4.75%,1)</f>
        <v>579</v>
      </c>
      <c r="AB6" s="1">
        <f>U6*3</f>
        <v>0</v>
      </c>
      <c r="AC6" s="16">
        <f t="shared" ref="AC6:AC8" si="7">SUM(Z6:AB6)</f>
        <v>1151.6612903225807</v>
      </c>
      <c r="AD6" s="16">
        <f t="shared" ref="AD6:AD69" si="8">Q6+AC6</f>
        <v>13336.500000000002</v>
      </c>
    </row>
    <row r="7" spans="1:30" x14ac:dyDescent="0.2">
      <c r="A7" s="10" t="s">
        <v>44</v>
      </c>
      <c r="B7" s="11">
        <f>B6+1</f>
        <v>2</v>
      </c>
      <c r="C7" s="11" t="s">
        <v>309</v>
      </c>
      <c r="D7" s="19" t="s">
        <v>51</v>
      </c>
      <c r="E7" s="11" t="s">
        <v>657</v>
      </c>
      <c r="F7" s="20">
        <v>42282</v>
      </c>
      <c r="G7" s="11">
        <v>31</v>
      </c>
      <c r="H7" s="13">
        <f t="shared" si="0"/>
        <v>5000</v>
      </c>
      <c r="I7" s="13">
        <f t="shared" ref="I7:I70" si="9">((0)/G$3)*G7</f>
        <v>0</v>
      </c>
      <c r="J7" s="13">
        <f t="shared" si="1"/>
        <v>250</v>
      </c>
      <c r="L7" s="13">
        <f t="shared" ref="L7:L70" si="10">((800)/G$3)*G7</f>
        <v>800</v>
      </c>
      <c r="N7" s="13">
        <f>((1950+1441+206+636+514)/G$3)*G7</f>
        <v>4747</v>
      </c>
      <c r="O7" s="13">
        <v>0</v>
      </c>
      <c r="P7" s="13">
        <v>5656</v>
      </c>
      <c r="Q7" s="13">
        <f t="shared" ref="Q7:Q70" si="11">SUM(H7:P7)</f>
        <v>16453</v>
      </c>
      <c r="R7" s="12">
        <f t="shared" si="2"/>
        <v>600</v>
      </c>
      <c r="S7" s="12">
        <f t="shared" si="3"/>
        <v>288</v>
      </c>
      <c r="T7" s="21">
        <f t="shared" ref="T7:T70" si="12">+IF(Q7&lt;2501,0,IF((Q7&gt;2501)*(Q7&lt;3500),0,IF((Q7&gt;3501)*(Q7&lt;7500),0,IF((Q7&gt;7501)*(Q7&lt;10000),175,200))))</f>
        <v>200</v>
      </c>
      <c r="U7" s="13">
        <v>0</v>
      </c>
      <c r="V7" s="13">
        <f t="shared" si="4"/>
        <v>1088</v>
      </c>
      <c r="W7" s="13">
        <f t="shared" si="5"/>
        <v>15365</v>
      </c>
      <c r="X7" s="13">
        <f t="shared" ref="X7:X10" si="13">P7</f>
        <v>5656</v>
      </c>
      <c r="Y7" s="13">
        <f t="shared" ref="Y7:Y70" si="14">W7-X7</f>
        <v>9709</v>
      </c>
      <c r="Z7" s="12">
        <f t="shared" ref="Z7:Z70" si="15">(H7+I7)*13.15%</f>
        <v>657.5</v>
      </c>
      <c r="AA7" s="12">
        <f t="shared" si="6"/>
        <v>782</v>
      </c>
      <c r="AB7" s="1">
        <f t="shared" ref="AB7:AB70" si="16">U7*3</f>
        <v>0</v>
      </c>
      <c r="AC7" s="16">
        <f t="shared" si="7"/>
        <v>1439.5</v>
      </c>
      <c r="AD7" s="16">
        <f t="shared" si="8"/>
        <v>17892.5</v>
      </c>
    </row>
    <row r="8" spans="1:30" hidden="1" x14ac:dyDescent="0.2">
      <c r="A8" s="10" t="s">
        <v>45</v>
      </c>
      <c r="B8" s="11">
        <f t="shared" ref="B8:B71" si="17">B7+1</f>
        <v>3</v>
      </c>
      <c r="C8" s="11" t="s">
        <v>42</v>
      </c>
      <c r="D8" s="11" t="s">
        <v>51</v>
      </c>
      <c r="E8" s="11" t="s">
        <v>581</v>
      </c>
      <c r="F8" s="20">
        <v>42326</v>
      </c>
      <c r="H8" s="13">
        <f t="shared" si="0"/>
        <v>0</v>
      </c>
      <c r="I8" s="13">
        <f t="shared" si="9"/>
        <v>0</v>
      </c>
      <c r="J8" s="13">
        <f t="shared" si="1"/>
        <v>0</v>
      </c>
      <c r="L8" s="13">
        <f t="shared" si="10"/>
        <v>0</v>
      </c>
      <c r="N8" s="13">
        <f>((1950+1441+559+2500+611)/G$3)*G8</f>
        <v>0</v>
      </c>
      <c r="O8" s="13">
        <v>0</v>
      </c>
      <c r="Q8" s="13">
        <f t="shared" si="11"/>
        <v>0</v>
      </c>
      <c r="R8" s="12">
        <f t="shared" si="2"/>
        <v>0</v>
      </c>
      <c r="S8" s="12">
        <f t="shared" si="3"/>
        <v>0</v>
      </c>
      <c r="T8" s="21">
        <f t="shared" si="12"/>
        <v>0</v>
      </c>
      <c r="U8" s="13">
        <v>0</v>
      </c>
      <c r="V8" s="13">
        <f t="shared" si="4"/>
        <v>0</v>
      </c>
      <c r="W8" s="13">
        <f t="shared" si="5"/>
        <v>0</v>
      </c>
      <c r="Y8" s="13">
        <f t="shared" si="14"/>
        <v>0</v>
      </c>
      <c r="Z8" s="12">
        <f t="shared" si="15"/>
        <v>0</v>
      </c>
      <c r="AA8" s="12">
        <f t="shared" si="6"/>
        <v>0</v>
      </c>
      <c r="AB8" s="1">
        <f t="shared" si="16"/>
        <v>0</v>
      </c>
      <c r="AC8" s="16">
        <f t="shared" si="7"/>
        <v>0</v>
      </c>
      <c r="AD8" s="16">
        <f t="shared" si="8"/>
        <v>0</v>
      </c>
    </row>
    <row r="9" spans="1:30" x14ac:dyDescent="0.2">
      <c r="A9" s="10" t="s">
        <v>88</v>
      </c>
      <c r="B9" s="11">
        <v>3</v>
      </c>
      <c r="C9" s="11" t="s">
        <v>68</v>
      </c>
      <c r="D9" s="11" t="s">
        <v>51</v>
      </c>
      <c r="E9" s="11" t="s">
        <v>657</v>
      </c>
      <c r="F9" s="22">
        <v>42508</v>
      </c>
      <c r="G9" s="11">
        <v>37</v>
      </c>
      <c r="H9" s="13">
        <f t="shared" si="0"/>
        <v>5967.7419354838703</v>
      </c>
      <c r="I9" s="13">
        <f t="shared" si="9"/>
        <v>0</v>
      </c>
      <c r="J9" s="13">
        <f t="shared" si="1"/>
        <v>298.38709677419354</v>
      </c>
      <c r="L9" s="13">
        <f t="shared" si="10"/>
        <v>954.83870967741927</v>
      </c>
      <c r="N9" s="13">
        <f>((1950+1000+611+769)/G$3)*G9</f>
        <v>5168.0645161290322</v>
      </c>
      <c r="O9" s="13">
        <f>(769/30*30)+(769/31*33)+(769/31*34)+(769/30*33)</f>
        <v>3276.9322580645162</v>
      </c>
      <c r="P9" s="13">
        <v>5767</v>
      </c>
      <c r="Q9" s="13">
        <f t="shared" si="11"/>
        <v>21432.964516129032</v>
      </c>
      <c r="R9" s="12">
        <f t="shared" si="2"/>
        <v>716.1290322580644</v>
      </c>
      <c r="S9" s="12">
        <f t="shared" si="3"/>
        <v>376</v>
      </c>
      <c r="T9" s="21">
        <f t="shared" si="12"/>
        <v>200</v>
      </c>
      <c r="U9" s="13">
        <v>0</v>
      </c>
      <c r="V9" s="13">
        <f t="shared" ref="V9:V10" si="18">SUM(R9:U9)</f>
        <v>1292.1290322580644</v>
      </c>
      <c r="W9" s="13">
        <f t="shared" si="5"/>
        <v>20140.835483870967</v>
      </c>
      <c r="X9" s="13">
        <f t="shared" si="13"/>
        <v>5767</v>
      </c>
      <c r="Y9" s="13">
        <f t="shared" si="14"/>
        <v>14373.835483870967</v>
      </c>
      <c r="Z9" s="12">
        <f t="shared" si="15"/>
        <v>784.75806451612902</v>
      </c>
      <c r="AA9" s="12">
        <f t="shared" si="6"/>
        <v>1019</v>
      </c>
      <c r="AB9" s="1">
        <f t="shared" si="16"/>
        <v>0</v>
      </c>
      <c r="AC9" s="16">
        <f t="shared" ref="AC9:AC10" si="19">SUM(Z9:AB9)</f>
        <v>1803.758064516129</v>
      </c>
      <c r="AD9" s="16">
        <f t="shared" si="8"/>
        <v>23236.722580645161</v>
      </c>
    </row>
    <row r="10" spans="1:30" x14ac:dyDescent="0.2">
      <c r="A10" s="10" t="s">
        <v>99</v>
      </c>
      <c r="B10" s="11">
        <f t="shared" si="17"/>
        <v>4</v>
      </c>
      <c r="C10" s="11" t="s">
        <v>83</v>
      </c>
      <c r="D10" s="11" t="s">
        <v>51</v>
      </c>
      <c r="E10" s="11" t="s">
        <v>238</v>
      </c>
      <c r="F10" s="22">
        <v>42546</v>
      </c>
      <c r="G10" s="11">
        <v>35</v>
      </c>
      <c r="H10" s="13">
        <f t="shared" si="0"/>
        <v>5645.1612903225805</v>
      </c>
      <c r="I10" s="13">
        <f t="shared" si="9"/>
        <v>0</v>
      </c>
      <c r="J10" s="13">
        <f t="shared" si="1"/>
        <v>282.25806451612902</v>
      </c>
      <c r="L10" s="13">
        <f t="shared" si="10"/>
        <v>903.22580645161281</v>
      </c>
      <c r="N10" s="13">
        <f>((1950+1000+611+1383+880)/G$3)*G10</f>
        <v>6575.4838709677424</v>
      </c>
      <c r="O10" s="13">
        <f>(880/31*33)+(880/31*37)+(880/30*33)</f>
        <v>2955.0967741935483</v>
      </c>
      <c r="P10" s="13">
        <v>6596</v>
      </c>
      <c r="Q10" s="13">
        <f t="shared" si="11"/>
        <v>22957.225806451614</v>
      </c>
      <c r="R10" s="12">
        <f t="shared" si="2"/>
        <v>677.41935483870964</v>
      </c>
      <c r="S10" s="12">
        <f t="shared" si="3"/>
        <v>402</v>
      </c>
      <c r="T10" s="21">
        <f t="shared" si="12"/>
        <v>200</v>
      </c>
      <c r="U10" s="13">
        <v>0</v>
      </c>
      <c r="V10" s="13">
        <f t="shared" si="18"/>
        <v>1279.4193548387098</v>
      </c>
      <c r="W10" s="13">
        <f t="shared" si="5"/>
        <v>21677.806451612905</v>
      </c>
      <c r="X10" s="13">
        <f t="shared" si="13"/>
        <v>6596</v>
      </c>
      <c r="Y10" s="13">
        <f t="shared" si="14"/>
        <v>15081.806451612905</v>
      </c>
      <c r="Z10" s="12">
        <f t="shared" si="15"/>
        <v>742.33870967741939</v>
      </c>
      <c r="AA10" s="12">
        <f t="shared" si="6"/>
        <v>1091</v>
      </c>
      <c r="AB10" s="1">
        <f t="shared" si="16"/>
        <v>0</v>
      </c>
      <c r="AC10" s="16">
        <f t="shared" si="19"/>
        <v>1833.3387096774195</v>
      </c>
      <c r="AD10" s="16">
        <f t="shared" si="8"/>
        <v>24790.564516129034</v>
      </c>
    </row>
    <row r="11" spans="1:30" hidden="1" x14ac:dyDescent="0.2">
      <c r="A11" s="10" t="s">
        <v>115</v>
      </c>
      <c r="B11" s="11">
        <f t="shared" si="17"/>
        <v>5</v>
      </c>
      <c r="C11" s="11" t="s">
        <v>95</v>
      </c>
      <c r="D11" s="11" t="s">
        <v>51</v>
      </c>
      <c r="E11" s="11" t="s">
        <v>581</v>
      </c>
      <c r="F11" s="22">
        <v>42559</v>
      </c>
      <c r="H11" s="13">
        <f t="shared" si="0"/>
        <v>0</v>
      </c>
      <c r="I11" s="13">
        <f t="shared" si="9"/>
        <v>0</v>
      </c>
      <c r="J11" s="13">
        <f t="shared" si="1"/>
        <v>0</v>
      </c>
      <c r="L11" s="13">
        <f t="shared" si="10"/>
        <v>0</v>
      </c>
      <c r="N11" s="13">
        <f>((1950+4000+611)/G$3)*G11</f>
        <v>0</v>
      </c>
      <c r="O11" s="13">
        <v>0</v>
      </c>
      <c r="Q11" s="13">
        <f t="shared" si="11"/>
        <v>0</v>
      </c>
      <c r="R11" s="12">
        <f t="shared" si="2"/>
        <v>0</v>
      </c>
      <c r="S11" s="12">
        <f t="shared" si="3"/>
        <v>0</v>
      </c>
      <c r="T11" s="21">
        <f t="shared" si="12"/>
        <v>0</v>
      </c>
      <c r="U11" s="13">
        <v>0</v>
      </c>
      <c r="V11" s="13">
        <f t="shared" ref="V11:V12" si="20">SUM(R11:U11)</f>
        <v>0</v>
      </c>
      <c r="W11" s="13">
        <f t="shared" si="5"/>
        <v>0</v>
      </c>
      <c r="Y11" s="13">
        <f t="shared" si="14"/>
        <v>0</v>
      </c>
      <c r="Z11" s="12">
        <f t="shared" si="15"/>
        <v>0</v>
      </c>
      <c r="AA11" s="12">
        <f t="shared" si="6"/>
        <v>0</v>
      </c>
      <c r="AB11" s="1">
        <f t="shared" si="16"/>
        <v>0</v>
      </c>
      <c r="AC11" s="16">
        <f t="shared" ref="AC11:AC12" si="21">SUM(Z11:AB11)</f>
        <v>0</v>
      </c>
      <c r="AD11" s="16">
        <f t="shared" si="8"/>
        <v>0</v>
      </c>
    </row>
    <row r="12" spans="1:30" x14ac:dyDescent="0.2">
      <c r="A12" s="10" t="s">
        <v>116</v>
      </c>
      <c r="B12" s="11">
        <v>5</v>
      </c>
      <c r="C12" s="11" t="s">
        <v>96</v>
      </c>
      <c r="D12" s="11" t="s">
        <v>51</v>
      </c>
      <c r="E12" s="11" t="s">
        <v>581</v>
      </c>
      <c r="F12" s="22">
        <v>42576</v>
      </c>
      <c r="G12" s="11">
        <v>33</v>
      </c>
      <c r="H12" s="13">
        <f t="shared" si="0"/>
        <v>5322.5806451612898</v>
      </c>
      <c r="I12" s="13">
        <f t="shared" si="9"/>
        <v>0</v>
      </c>
      <c r="J12" s="13">
        <f t="shared" si="1"/>
        <v>266.12903225806451</v>
      </c>
      <c r="L12" s="13">
        <f t="shared" si="10"/>
        <v>851.61290322580635</v>
      </c>
      <c r="N12" s="13">
        <f>((1950+1000+611+1383+2199)/G$3)*G12</f>
        <v>7603.8387096774186</v>
      </c>
      <c r="O12" s="13">
        <f>(2199/31*31)+(2199/30*32)</f>
        <v>4544.6000000000004</v>
      </c>
      <c r="P12" s="13">
        <v>6596</v>
      </c>
      <c r="Q12" s="13">
        <f t="shared" si="11"/>
        <v>25184.761290322582</v>
      </c>
      <c r="R12" s="12">
        <f t="shared" si="2"/>
        <v>638.70967741935476</v>
      </c>
      <c r="S12" s="12">
        <f t="shared" si="3"/>
        <v>441</v>
      </c>
      <c r="T12" s="21">
        <f t="shared" si="12"/>
        <v>200</v>
      </c>
      <c r="U12" s="13">
        <v>0</v>
      </c>
      <c r="V12" s="13">
        <f t="shared" si="20"/>
        <v>1279.7096774193546</v>
      </c>
      <c r="W12" s="13">
        <f t="shared" si="5"/>
        <v>23905.051612903226</v>
      </c>
      <c r="X12" s="13">
        <f>P12</f>
        <v>6596</v>
      </c>
      <c r="Y12" s="13">
        <f t="shared" si="14"/>
        <v>17309.051612903226</v>
      </c>
      <c r="Z12" s="12">
        <f t="shared" si="15"/>
        <v>699.91935483870964</v>
      </c>
      <c r="AA12" s="12">
        <f t="shared" si="6"/>
        <v>1197</v>
      </c>
      <c r="AB12" s="1">
        <f t="shared" si="16"/>
        <v>0</v>
      </c>
      <c r="AC12" s="16">
        <f t="shared" si="21"/>
        <v>1896.9193548387098</v>
      </c>
      <c r="AD12" s="16">
        <f t="shared" si="8"/>
        <v>27081.68064516129</v>
      </c>
    </row>
    <row r="13" spans="1:30" x14ac:dyDescent="0.2">
      <c r="A13" s="10" t="s">
        <v>120</v>
      </c>
      <c r="B13" s="11">
        <f t="shared" si="17"/>
        <v>6</v>
      </c>
      <c r="C13" s="11" t="s">
        <v>106</v>
      </c>
      <c r="D13" s="11" t="s">
        <v>51</v>
      </c>
      <c r="E13" s="11" t="s">
        <v>238</v>
      </c>
      <c r="F13" s="22">
        <v>42583</v>
      </c>
      <c r="G13" s="11">
        <v>32</v>
      </c>
      <c r="H13" s="13">
        <f t="shared" si="0"/>
        <v>5161.2903225806449</v>
      </c>
      <c r="I13" s="13">
        <f t="shared" si="9"/>
        <v>0</v>
      </c>
      <c r="J13" s="13">
        <f t="shared" si="1"/>
        <v>258.06451612903226</v>
      </c>
      <c r="L13" s="13">
        <f t="shared" si="10"/>
        <v>825.80645161290317</v>
      </c>
      <c r="N13" s="13">
        <f>((1950+1000+611+1383+1099)/G$3)*G13</f>
        <v>6237.9354838709678</v>
      </c>
      <c r="O13" s="13">
        <f>(1099/30*30)+(1099/31*31)+(1099/31*33)+(1099/30*34)</f>
        <v>4613.4365591397855</v>
      </c>
      <c r="P13" s="13">
        <v>6596</v>
      </c>
      <c r="Q13" s="13">
        <f t="shared" si="11"/>
        <v>23692.533333333333</v>
      </c>
      <c r="R13" s="12">
        <f t="shared" si="2"/>
        <v>619.35483870967732</v>
      </c>
      <c r="S13" s="12">
        <f t="shared" si="3"/>
        <v>415</v>
      </c>
      <c r="T13" s="21">
        <f t="shared" si="12"/>
        <v>200</v>
      </c>
      <c r="U13" s="13">
        <v>0</v>
      </c>
      <c r="V13" s="13">
        <f t="shared" ref="V13:V14" si="22">SUM(R13:U13)</f>
        <v>1234.3548387096773</v>
      </c>
      <c r="W13" s="13">
        <f t="shared" si="5"/>
        <v>22458.178494623655</v>
      </c>
      <c r="X13" s="13">
        <f t="shared" ref="X13:X15" si="23">P13</f>
        <v>6596</v>
      </c>
      <c r="Y13" s="13">
        <f t="shared" si="14"/>
        <v>15862.178494623655</v>
      </c>
      <c r="Z13" s="12">
        <f t="shared" si="15"/>
        <v>678.70967741935488</v>
      </c>
      <c r="AA13" s="12">
        <f t="shared" si="6"/>
        <v>1126</v>
      </c>
      <c r="AB13" s="1">
        <f t="shared" si="16"/>
        <v>0</v>
      </c>
      <c r="AC13" s="16">
        <f t="shared" ref="AC13:AC14" si="24">SUM(Z13:AB13)</f>
        <v>1804.7096774193549</v>
      </c>
      <c r="AD13" s="16">
        <f t="shared" si="8"/>
        <v>25497.243010752689</v>
      </c>
    </row>
    <row r="14" spans="1:30" x14ac:dyDescent="0.2">
      <c r="A14" s="10" t="s">
        <v>121</v>
      </c>
      <c r="B14" s="11">
        <f t="shared" si="17"/>
        <v>7</v>
      </c>
      <c r="C14" s="11" t="s">
        <v>107</v>
      </c>
      <c r="D14" s="11" t="s">
        <v>51</v>
      </c>
      <c r="E14" s="11" t="s">
        <v>658</v>
      </c>
      <c r="F14" s="22">
        <v>42583</v>
      </c>
      <c r="G14" s="11">
        <v>36</v>
      </c>
      <c r="H14" s="13">
        <f t="shared" si="0"/>
        <v>5806.4516129032254</v>
      </c>
      <c r="I14" s="13">
        <f t="shared" si="9"/>
        <v>0</v>
      </c>
      <c r="J14" s="13">
        <f t="shared" si="1"/>
        <v>290.32258064516128</v>
      </c>
      <c r="L14" s="13">
        <f t="shared" si="10"/>
        <v>929.0322580645161</v>
      </c>
      <c r="N14" s="13">
        <f>((1950+1000+611+1383+1099)/G$3)*G14</f>
        <v>7017.677419354839</v>
      </c>
      <c r="O14" s="13">
        <f>(1099/30*30)+(1099/31*34)+(1099/31*33)+(1099/30*33)</f>
        <v>4683.1580645161293</v>
      </c>
      <c r="P14" s="13">
        <v>6596</v>
      </c>
      <c r="Q14" s="13">
        <f t="shared" si="11"/>
        <v>25322.641935483873</v>
      </c>
      <c r="R14" s="12">
        <f t="shared" si="2"/>
        <v>696.77419354838707</v>
      </c>
      <c r="S14" s="12">
        <f t="shared" si="3"/>
        <v>444</v>
      </c>
      <c r="T14" s="21">
        <f t="shared" si="12"/>
        <v>200</v>
      </c>
      <c r="U14" s="13">
        <v>0</v>
      </c>
      <c r="V14" s="13">
        <f t="shared" si="22"/>
        <v>1340.7741935483871</v>
      </c>
      <c r="W14" s="13">
        <f t="shared" si="5"/>
        <v>23981.867741935486</v>
      </c>
      <c r="X14" s="13">
        <f t="shared" si="23"/>
        <v>6596</v>
      </c>
      <c r="Y14" s="13">
        <f t="shared" si="14"/>
        <v>17385.867741935486</v>
      </c>
      <c r="Z14" s="12">
        <f t="shared" si="15"/>
        <v>763.54838709677415</v>
      </c>
      <c r="AA14" s="12">
        <f t="shared" si="6"/>
        <v>1203</v>
      </c>
      <c r="AB14" s="1">
        <f t="shared" si="16"/>
        <v>0</v>
      </c>
      <c r="AC14" s="16">
        <f t="shared" si="24"/>
        <v>1966.5483870967741</v>
      </c>
      <c r="AD14" s="16">
        <f t="shared" si="8"/>
        <v>27289.190322580645</v>
      </c>
    </row>
    <row r="15" spans="1:30" x14ac:dyDescent="0.2">
      <c r="A15" s="10" t="s">
        <v>122</v>
      </c>
      <c r="B15" s="11">
        <f t="shared" si="17"/>
        <v>8</v>
      </c>
      <c r="C15" s="11" t="s">
        <v>108</v>
      </c>
      <c r="D15" s="11" t="s">
        <v>51</v>
      </c>
      <c r="E15" s="11" t="s">
        <v>659</v>
      </c>
      <c r="F15" s="22">
        <v>42586</v>
      </c>
      <c r="G15" s="11">
        <v>22</v>
      </c>
      <c r="H15" s="13">
        <f t="shared" si="0"/>
        <v>3548.3870967741932</v>
      </c>
      <c r="I15" s="13">
        <f t="shared" si="9"/>
        <v>0</v>
      </c>
      <c r="J15" s="13">
        <f t="shared" si="1"/>
        <v>177.41935483870967</v>
      </c>
      <c r="L15" s="13">
        <f t="shared" si="10"/>
        <v>567.74193548387098</v>
      </c>
      <c r="N15" s="13">
        <f>((1950+1000+611+1383+880)/G$3)*G15</f>
        <v>4133.1612903225805</v>
      </c>
      <c r="O15" s="13">
        <f>(2199/31*35)</f>
        <v>2482.7419354838712</v>
      </c>
      <c r="P15" s="13">
        <v>6596</v>
      </c>
      <c r="Q15" s="13">
        <f t="shared" si="11"/>
        <v>17505.451612903227</v>
      </c>
      <c r="R15" s="12">
        <f t="shared" si="2"/>
        <v>425.80645161290317</v>
      </c>
      <c r="S15" s="12">
        <f t="shared" si="3"/>
        <v>307</v>
      </c>
      <c r="T15" s="21">
        <f t="shared" si="12"/>
        <v>200</v>
      </c>
      <c r="U15" s="13">
        <v>0</v>
      </c>
      <c r="V15" s="13">
        <f t="shared" ref="V15:V16" si="25">SUM(R15:U15)</f>
        <v>932.80645161290317</v>
      </c>
      <c r="W15" s="13">
        <f t="shared" si="5"/>
        <v>16572.645161290326</v>
      </c>
      <c r="X15" s="13">
        <f t="shared" si="23"/>
        <v>6596</v>
      </c>
      <c r="Y15" s="13">
        <f t="shared" si="14"/>
        <v>9976.6451612903256</v>
      </c>
      <c r="Z15" s="12">
        <f t="shared" si="15"/>
        <v>466.61290322580641</v>
      </c>
      <c r="AA15" s="12">
        <f t="shared" si="6"/>
        <v>832</v>
      </c>
      <c r="AB15" s="1">
        <f t="shared" si="16"/>
        <v>0</v>
      </c>
      <c r="AC15" s="16">
        <f t="shared" ref="AC15:AC16" si="26">SUM(Z15:AB15)</f>
        <v>1298.6129032258063</v>
      </c>
      <c r="AD15" s="16">
        <f t="shared" si="8"/>
        <v>18804.064516129034</v>
      </c>
    </row>
    <row r="16" spans="1:30" hidden="1" x14ac:dyDescent="0.2">
      <c r="A16" s="10" t="s">
        <v>123</v>
      </c>
      <c r="C16" s="11" t="s">
        <v>109</v>
      </c>
      <c r="D16" s="11" t="s">
        <v>51</v>
      </c>
      <c r="E16" s="11" t="s">
        <v>658</v>
      </c>
      <c r="F16" s="22">
        <v>42587</v>
      </c>
      <c r="H16" s="13">
        <f t="shared" si="0"/>
        <v>0</v>
      </c>
      <c r="I16" s="13">
        <f t="shared" si="9"/>
        <v>0</v>
      </c>
      <c r="J16" s="13">
        <f t="shared" si="1"/>
        <v>0</v>
      </c>
      <c r="L16" s="13">
        <f t="shared" si="10"/>
        <v>0</v>
      </c>
      <c r="N16" s="13">
        <f>((1950+1000+611+1383)/G$3)*G16</f>
        <v>0</v>
      </c>
      <c r="O16" s="13">
        <v>0</v>
      </c>
      <c r="Q16" s="13">
        <f t="shared" si="11"/>
        <v>0</v>
      </c>
      <c r="R16" s="12">
        <f t="shared" si="2"/>
        <v>0</v>
      </c>
      <c r="S16" s="12">
        <f t="shared" si="3"/>
        <v>0</v>
      </c>
      <c r="T16" s="21">
        <f t="shared" si="12"/>
        <v>0</v>
      </c>
      <c r="U16" s="13">
        <v>0</v>
      </c>
      <c r="V16" s="13">
        <f t="shared" si="25"/>
        <v>0</v>
      </c>
      <c r="W16" s="13">
        <f t="shared" si="5"/>
        <v>0</v>
      </c>
      <c r="Y16" s="13">
        <f t="shared" si="14"/>
        <v>0</v>
      </c>
      <c r="Z16" s="12">
        <f t="shared" si="15"/>
        <v>0</v>
      </c>
      <c r="AA16" s="12">
        <f t="shared" si="6"/>
        <v>0</v>
      </c>
      <c r="AB16" s="1">
        <f t="shared" si="16"/>
        <v>0</v>
      </c>
      <c r="AC16" s="16">
        <f t="shared" si="26"/>
        <v>0</v>
      </c>
      <c r="AD16" s="16">
        <f t="shared" si="8"/>
        <v>0</v>
      </c>
    </row>
    <row r="17" spans="1:30" hidden="1" x14ac:dyDescent="0.2">
      <c r="A17" s="10" t="s">
        <v>124</v>
      </c>
      <c r="C17" s="11" t="s">
        <v>110</v>
      </c>
      <c r="D17" s="11" t="s">
        <v>51</v>
      </c>
      <c r="E17" s="11" t="s">
        <v>238</v>
      </c>
      <c r="F17" s="22">
        <v>42601</v>
      </c>
      <c r="H17" s="13">
        <f t="shared" si="0"/>
        <v>0</v>
      </c>
      <c r="I17" s="13">
        <f t="shared" si="9"/>
        <v>0</v>
      </c>
      <c r="J17" s="13">
        <f t="shared" si="1"/>
        <v>0</v>
      </c>
      <c r="L17" s="13">
        <f t="shared" si="10"/>
        <v>0</v>
      </c>
      <c r="N17" s="13">
        <f>((6114-164+611)/G$3)*G17</f>
        <v>0</v>
      </c>
      <c r="O17" s="13">
        <v>0</v>
      </c>
      <c r="Q17" s="13">
        <f t="shared" si="11"/>
        <v>0</v>
      </c>
      <c r="R17" s="12">
        <f t="shared" si="2"/>
        <v>0</v>
      </c>
      <c r="S17" s="12">
        <f t="shared" si="3"/>
        <v>0</v>
      </c>
      <c r="T17" s="21">
        <f t="shared" si="12"/>
        <v>0</v>
      </c>
      <c r="U17" s="13">
        <v>0</v>
      </c>
      <c r="V17" s="13">
        <f t="shared" ref="V17:V20" si="27">SUM(R17:U17)</f>
        <v>0</v>
      </c>
      <c r="W17" s="13">
        <f t="shared" si="5"/>
        <v>0</v>
      </c>
      <c r="Y17" s="13">
        <f t="shared" si="14"/>
        <v>0</v>
      </c>
      <c r="Z17" s="12">
        <f t="shared" si="15"/>
        <v>0</v>
      </c>
      <c r="AA17" s="12">
        <f t="shared" si="6"/>
        <v>0</v>
      </c>
      <c r="AB17" s="1">
        <f t="shared" si="16"/>
        <v>0</v>
      </c>
      <c r="AC17" s="16">
        <f t="shared" ref="AC17:AC20" si="28">SUM(Z17:AB17)</f>
        <v>0</v>
      </c>
      <c r="AD17" s="16">
        <f t="shared" si="8"/>
        <v>0</v>
      </c>
    </row>
    <row r="18" spans="1:30" x14ac:dyDescent="0.2">
      <c r="A18" s="10" t="s">
        <v>125</v>
      </c>
      <c r="B18" s="11">
        <v>9</v>
      </c>
      <c r="C18" s="11" t="s">
        <v>111</v>
      </c>
      <c r="D18" s="11" t="s">
        <v>51</v>
      </c>
      <c r="E18" s="11" t="s">
        <v>236</v>
      </c>
      <c r="F18" s="22">
        <v>42601</v>
      </c>
      <c r="G18" s="11">
        <v>37</v>
      </c>
      <c r="H18" s="13">
        <f t="shared" si="0"/>
        <v>5967.7419354838703</v>
      </c>
      <c r="I18" s="13">
        <f t="shared" si="9"/>
        <v>0</v>
      </c>
      <c r="J18" s="13">
        <f t="shared" si="1"/>
        <v>298.38709677419354</v>
      </c>
      <c r="L18" s="13">
        <f t="shared" si="10"/>
        <v>954.83870967741927</v>
      </c>
      <c r="N18" s="13">
        <f>((3950+611+849)/G$3)*G18</f>
        <v>6457.0967741935492</v>
      </c>
      <c r="O18" s="13">
        <f>(849/30*35)</f>
        <v>990.5</v>
      </c>
      <c r="P18" s="13">
        <v>6367</v>
      </c>
      <c r="Q18" s="13">
        <f t="shared" si="11"/>
        <v>21035.56451612903</v>
      </c>
      <c r="R18" s="12">
        <f t="shared" si="2"/>
        <v>716.1290322580644</v>
      </c>
      <c r="S18" s="12">
        <f t="shared" si="3"/>
        <v>369</v>
      </c>
      <c r="T18" s="21">
        <f t="shared" si="12"/>
        <v>200</v>
      </c>
      <c r="U18" s="13">
        <v>0</v>
      </c>
      <c r="V18" s="13">
        <f t="shared" si="27"/>
        <v>1285.1290322580644</v>
      </c>
      <c r="W18" s="13">
        <f t="shared" si="5"/>
        <v>19750.435483870966</v>
      </c>
      <c r="X18" s="13">
        <f t="shared" ref="X18:X20" si="29">P18</f>
        <v>6367</v>
      </c>
      <c r="Y18" s="13">
        <f t="shared" si="14"/>
        <v>13383.435483870966</v>
      </c>
      <c r="Z18" s="12">
        <f t="shared" si="15"/>
        <v>784.75806451612902</v>
      </c>
      <c r="AA18" s="12">
        <f t="shared" si="6"/>
        <v>1000</v>
      </c>
      <c r="AB18" s="1">
        <f t="shared" si="16"/>
        <v>0</v>
      </c>
      <c r="AC18" s="16">
        <f t="shared" si="28"/>
        <v>1784.758064516129</v>
      </c>
      <c r="AD18" s="16">
        <f t="shared" si="8"/>
        <v>22820.322580645159</v>
      </c>
    </row>
    <row r="19" spans="1:30" x14ac:dyDescent="0.2">
      <c r="A19" s="10" t="s">
        <v>126</v>
      </c>
      <c r="B19" s="11">
        <f t="shared" si="17"/>
        <v>10</v>
      </c>
      <c r="C19" s="11" t="s">
        <v>112</v>
      </c>
      <c r="D19" s="11" t="s">
        <v>51</v>
      </c>
      <c r="E19" s="11" t="s">
        <v>236</v>
      </c>
      <c r="F19" s="22">
        <v>42601</v>
      </c>
      <c r="G19" s="11">
        <v>37</v>
      </c>
      <c r="H19" s="13">
        <f t="shared" si="0"/>
        <v>5967.7419354838703</v>
      </c>
      <c r="I19" s="13">
        <f t="shared" si="9"/>
        <v>0</v>
      </c>
      <c r="J19" s="13">
        <f t="shared" si="1"/>
        <v>298.38709677419354</v>
      </c>
      <c r="L19" s="13">
        <f t="shared" si="10"/>
        <v>954.83870967741927</v>
      </c>
      <c r="N19" s="13">
        <f>((3950+611+849)/G$3)*G19</f>
        <v>6457.0967741935492</v>
      </c>
      <c r="O19" s="13">
        <f>(849/30*34)</f>
        <v>962.2</v>
      </c>
      <c r="P19" s="13">
        <v>6367</v>
      </c>
      <c r="Q19" s="13">
        <f t="shared" si="11"/>
        <v>21007.264516129035</v>
      </c>
      <c r="R19" s="12">
        <f t="shared" si="2"/>
        <v>716.1290322580644</v>
      </c>
      <c r="S19" s="12">
        <f t="shared" si="3"/>
        <v>368</v>
      </c>
      <c r="T19" s="21">
        <f t="shared" si="12"/>
        <v>200</v>
      </c>
      <c r="U19" s="13">
        <v>0</v>
      </c>
      <c r="V19" s="13">
        <f t="shared" si="27"/>
        <v>1284.1290322580644</v>
      </c>
      <c r="W19" s="13">
        <f t="shared" si="5"/>
        <v>19723.13548387097</v>
      </c>
      <c r="X19" s="13">
        <f t="shared" si="29"/>
        <v>6367</v>
      </c>
      <c r="Y19" s="13">
        <f t="shared" si="14"/>
        <v>13356.13548387097</v>
      </c>
      <c r="Z19" s="12">
        <f t="shared" si="15"/>
        <v>784.75806451612902</v>
      </c>
      <c r="AA19" s="12">
        <f t="shared" si="6"/>
        <v>998</v>
      </c>
      <c r="AB19" s="1">
        <f t="shared" si="16"/>
        <v>0</v>
      </c>
      <c r="AC19" s="16">
        <f t="shared" si="28"/>
        <v>1782.758064516129</v>
      </c>
      <c r="AD19" s="16">
        <f t="shared" si="8"/>
        <v>22790.022580645164</v>
      </c>
    </row>
    <row r="20" spans="1:30" x14ac:dyDescent="0.2">
      <c r="A20" s="10" t="s">
        <v>158</v>
      </c>
      <c r="B20" s="11">
        <f t="shared" si="17"/>
        <v>11</v>
      </c>
      <c r="C20" s="11" t="s">
        <v>134</v>
      </c>
      <c r="D20" s="11" t="s">
        <v>51</v>
      </c>
      <c r="E20" s="11" t="s">
        <v>660</v>
      </c>
      <c r="F20" s="22">
        <v>42697</v>
      </c>
      <c r="G20" s="11">
        <v>28</v>
      </c>
      <c r="H20" s="13">
        <f t="shared" si="0"/>
        <v>4516.1290322580644</v>
      </c>
      <c r="I20" s="13">
        <f t="shared" si="9"/>
        <v>0</v>
      </c>
      <c r="J20" s="13">
        <f t="shared" si="1"/>
        <v>225.80645161290323</v>
      </c>
      <c r="L20" s="13">
        <f t="shared" si="10"/>
        <v>722.58064516129025</v>
      </c>
      <c r="N20" s="13">
        <f>((2950+5000+611)/G$3)*G20</f>
        <v>7732.5161290322585</v>
      </c>
      <c r="O20" s="13">
        <v>0</v>
      </c>
      <c r="P20" s="13">
        <v>9578</v>
      </c>
      <c r="Q20" s="13">
        <f t="shared" si="11"/>
        <v>22775.032258064515</v>
      </c>
      <c r="R20" s="12">
        <f t="shared" si="2"/>
        <v>541.93548387096769</v>
      </c>
      <c r="S20" s="12">
        <f t="shared" si="3"/>
        <v>399</v>
      </c>
      <c r="T20" s="21">
        <f t="shared" si="12"/>
        <v>200</v>
      </c>
      <c r="U20" s="13">
        <v>0</v>
      </c>
      <c r="V20" s="13">
        <f t="shared" si="27"/>
        <v>1140.9354838709678</v>
      </c>
      <c r="W20" s="13">
        <f t="shared" si="5"/>
        <v>21634.096774193546</v>
      </c>
      <c r="X20" s="13">
        <f t="shared" si="29"/>
        <v>9578</v>
      </c>
      <c r="Y20" s="13">
        <f t="shared" si="14"/>
        <v>12056.096774193546</v>
      </c>
      <c r="Z20" s="12">
        <f t="shared" si="15"/>
        <v>593.87096774193549</v>
      </c>
      <c r="AA20" s="12">
        <f t="shared" si="6"/>
        <v>1082</v>
      </c>
      <c r="AB20" s="1">
        <f t="shared" si="16"/>
        <v>0</v>
      </c>
      <c r="AC20" s="16">
        <f t="shared" si="28"/>
        <v>1675.8709677419356</v>
      </c>
      <c r="AD20" s="16">
        <f t="shared" si="8"/>
        <v>24450.903225806451</v>
      </c>
    </row>
    <row r="21" spans="1:30" x14ac:dyDescent="0.2">
      <c r="A21" s="10" t="s">
        <v>177</v>
      </c>
      <c r="B21" s="11">
        <f t="shared" si="17"/>
        <v>12</v>
      </c>
      <c r="C21" s="11" t="s">
        <v>145</v>
      </c>
      <c r="D21" s="11" t="s">
        <v>51</v>
      </c>
      <c r="E21" s="11" t="s">
        <v>658</v>
      </c>
      <c r="F21" s="22">
        <v>42705</v>
      </c>
      <c r="G21" s="11">
        <v>31</v>
      </c>
      <c r="H21" s="13">
        <f t="shared" si="0"/>
        <v>5000</v>
      </c>
      <c r="I21" s="13">
        <f t="shared" si="9"/>
        <v>0</v>
      </c>
      <c r="J21" s="13">
        <f t="shared" si="1"/>
        <v>250</v>
      </c>
      <c r="L21" s="13">
        <f t="shared" si="10"/>
        <v>800</v>
      </c>
      <c r="N21" s="13">
        <f>((1950+1000+611+1383)/G$3)*G21</f>
        <v>4944</v>
      </c>
      <c r="O21" s="13">
        <v>0</v>
      </c>
      <c r="Q21" s="13">
        <f t="shared" si="11"/>
        <v>10994</v>
      </c>
      <c r="R21" s="12">
        <f t="shared" si="2"/>
        <v>600</v>
      </c>
      <c r="S21" s="12">
        <f t="shared" si="3"/>
        <v>193</v>
      </c>
      <c r="T21" s="21">
        <f t="shared" si="12"/>
        <v>200</v>
      </c>
      <c r="U21" s="13">
        <v>0</v>
      </c>
      <c r="V21" s="13">
        <f t="shared" ref="V21:V29" si="30">SUM(R21:U21)</f>
        <v>993</v>
      </c>
      <c r="W21" s="13">
        <f t="shared" si="5"/>
        <v>10001</v>
      </c>
      <c r="Y21" s="13">
        <f t="shared" si="14"/>
        <v>10001</v>
      </c>
      <c r="Z21" s="12">
        <f t="shared" si="15"/>
        <v>657.5</v>
      </c>
      <c r="AA21" s="12">
        <f t="shared" si="6"/>
        <v>523</v>
      </c>
      <c r="AB21" s="1">
        <f t="shared" si="16"/>
        <v>0</v>
      </c>
      <c r="AC21" s="16">
        <f t="shared" ref="AC21:AC29" si="31">SUM(Z21:AB21)</f>
        <v>1180.5</v>
      </c>
      <c r="AD21" s="16">
        <f t="shared" si="8"/>
        <v>12174.5</v>
      </c>
    </row>
    <row r="22" spans="1:30" x14ac:dyDescent="0.2">
      <c r="A22" s="10" t="s">
        <v>178</v>
      </c>
      <c r="B22" s="11">
        <f t="shared" si="17"/>
        <v>13</v>
      </c>
      <c r="C22" s="11" t="s">
        <v>146</v>
      </c>
      <c r="D22" s="11" t="s">
        <v>51</v>
      </c>
      <c r="E22" s="11" t="s">
        <v>238</v>
      </c>
      <c r="F22" s="22">
        <v>42705</v>
      </c>
      <c r="G22" s="11">
        <v>32</v>
      </c>
      <c r="H22" s="13">
        <f t="shared" si="0"/>
        <v>5161.2903225806449</v>
      </c>
      <c r="I22" s="13">
        <f t="shared" si="9"/>
        <v>0</v>
      </c>
      <c r="J22" s="13">
        <f t="shared" si="1"/>
        <v>258.06451612903226</v>
      </c>
      <c r="L22" s="13">
        <f t="shared" si="10"/>
        <v>825.80645161290317</v>
      </c>
      <c r="N22" s="13">
        <f>((1950+1000+611+1383)/G$3)*G22</f>
        <v>5103.4838709677415</v>
      </c>
      <c r="O22" s="13">
        <v>0</v>
      </c>
      <c r="Q22" s="13">
        <f t="shared" si="11"/>
        <v>11348.645161290322</v>
      </c>
      <c r="R22" s="12">
        <f t="shared" si="2"/>
        <v>619.35483870967732</v>
      </c>
      <c r="S22" s="12">
        <f t="shared" si="3"/>
        <v>199</v>
      </c>
      <c r="T22" s="21">
        <f t="shared" si="12"/>
        <v>200</v>
      </c>
      <c r="U22" s="13">
        <v>0</v>
      </c>
      <c r="V22" s="13">
        <f t="shared" si="30"/>
        <v>1018.3548387096773</v>
      </c>
      <c r="W22" s="13">
        <f t="shared" si="5"/>
        <v>10330.290322580644</v>
      </c>
      <c r="Y22" s="13">
        <f t="shared" si="14"/>
        <v>10330.290322580644</v>
      </c>
      <c r="Z22" s="12">
        <f t="shared" si="15"/>
        <v>678.70967741935488</v>
      </c>
      <c r="AA22" s="12">
        <f t="shared" si="6"/>
        <v>540</v>
      </c>
      <c r="AB22" s="1">
        <f t="shared" si="16"/>
        <v>0</v>
      </c>
      <c r="AC22" s="16">
        <f t="shared" si="31"/>
        <v>1218.7096774193549</v>
      </c>
      <c r="AD22" s="16">
        <f t="shared" si="8"/>
        <v>12567.354838709676</v>
      </c>
    </row>
    <row r="23" spans="1:30" hidden="1" x14ac:dyDescent="0.2">
      <c r="A23" s="10" t="s">
        <v>179</v>
      </c>
      <c r="B23" s="11">
        <f t="shared" si="17"/>
        <v>14</v>
      </c>
      <c r="C23" s="11" t="s">
        <v>147</v>
      </c>
      <c r="D23" s="11" t="s">
        <v>51</v>
      </c>
      <c r="E23" s="11" t="s">
        <v>658</v>
      </c>
      <c r="F23" s="22">
        <v>42729</v>
      </c>
      <c r="H23" s="13">
        <f t="shared" si="0"/>
        <v>0</v>
      </c>
      <c r="I23" s="13">
        <f t="shared" si="9"/>
        <v>0</v>
      </c>
      <c r="J23" s="13">
        <f t="shared" si="1"/>
        <v>0</v>
      </c>
      <c r="L23" s="13">
        <f t="shared" si="10"/>
        <v>0</v>
      </c>
      <c r="N23" s="13">
        <f>((1950+1000+611+1383)/G$3)*G23</f>
        <v>0</v>
      </c>
      <c r="O23" s="13">
        <v>0</v>
      </c>
      <c r="Q23" s="13">
        <f t="shared" si="11"/>
        <v>0</v>
      </c>
      <c r="R23" s="12">
        <f t="shared" si="2"/>
        <v>0</v>
      </c>
      <c r="S23" s="12">
        <f t="shared" si="3"/>
        <v>0</v>
      </c>
      <c r="T23" s="21">
        <f t="shared" si="12"/>
        <v>0</v>
      </c>
      <c r="U23" s="13">
        <v>0</v>
      </c>
      <c r="V23" s="13">
        <f t="shared" si="30"/>
        <v>0</v>
      </c>
      <c r="W23" s="13">
        <f t="shared" si="5"/>
        <v>0</v>
      </c>
      <c r="Y23" s="13">
        <f t="shared" si="14"/>
        <v>0</v>
      </c>
      <c r="Z23" s="12">
        <f t="shared" si="15"/>
        <v>0</v>
      </c>
      <c r="AA23" s="12">
        <f t="shared" si="6"/>
        <v>0</v>
      </c>
      <c r="AB23" s="1">
        <f t="shared" si="16"/>
        <v>0</v>
      </c>
      <c r="AC23" s="16">
        <f t="shared" si="31"/>
        <v>0</v>
      </c>
      <c r="AD23" s="16">
        <f t="shared" si="8"/>
        <v>0</v>
      </c>
    </row>
    <row r="24" spans="1:30" x14ac:dyDescent="0.2">
      <c r="A24" s="10" t="s">
        <v>180</v>
      </c>
      <c r="B24" s="11">
        <v>14</v>
      </c>
      <c r="C24" s="11" t="s">
        <v>148</v>
      </c>
      <c r="D24" s="11" t="s">
        <v>51</v>
      </c>
      <c r="E24" s="11" t="s">
        <v>581</v>
      </c>
      <c r="F24" s="22">
        <v>42729</v>
      </c>
      <c r="G24" s="11">
        <v>32</v>
      </c>
      <c r="H24" s="13">
        <f t="shared" si="0"/>
        <v>5161.2903225806449</v>
      </c>
      <c r="I24" s="13">
        <f t="shared" si="9"/>
        <v>0</v>
      </c>
      <c r="J24" s="13">
        <f t="shared" si="1"/>
        <v>258.06451612903226</v>
      </c>
      <c r="L24" s="13">
        <f t="shared" si="10"/>
        <v>825.80645161290317</v>
      </c>
      <c r="N24" s="13">
        <f>((2950+2000+611)/G$3)*G24</f>
        <v>5740.3870967741932</v>
      </c>
      <c r="O24" s="13">
        <v>0</v>
      </c>
      <c r="Q24" s="13">
        <f t="shared" si="11"/>
        <v>11985.548387096773</v>
      </c>
      <c r="R24" s="12">
        <f t="shared" si="2"/>
        <v>619.35483870967732</v>
      </c>
      <c r="S24" s="12">
        <f t="shared" si="3"/>
        <v>210</v>
      </c>
      <c r="T24" s="21">
        <f t="shared" si="12"/>
        <v>200</v>
      </c>
      <c r="U24" s="13">
        <v>0</v>
      </c>
      <c r="V24" s="13">
        <f t="shared" si="30"/>
        <v>1029.3548387096773</v>
      </c>
      <c r="W24" s="13">
        <f t="shared" si="5"/>
        <v>10956.193548387095</v>
      </c>
      <c r="Y24" s="13">
        <f t="shared" si="14"/>
        <v>10956.193548387095</v>
      </c>
      <c r="Z24" s="12">
        <f t="shared" si="15"/>
        <v>678.70967741935488</v>
      </c>
      <c r="AA24" s="12">
        <f t="shared" si="6"/>
        <v>570</v>
      </c>
      <c r="AB24" s="1">
        <f t="shared" si="16"/>
        <v>0</v>
      </c>
      <c r="AC24" s="16">
        <f t="shared" si="31"/>
        <v>1248.7096774193549</v>
      </c>
      <c r="AD24" s="16">
        <f t="shared" si="8"/>
        <v>13234.258064516127</v>
      </c>
    </row>
    <row r="25" spans="1:30" x14ac:dyDescent="0.2">
      <c r="A25" s="10" t="s">
        <v>181</v>
      </c>
      <c r="B25" s="11">
        <f t="shared" si="17"/>
        <v>15</v>
      </c>
      <c r="C25" s="11" t="s">
        <v>431</v>
      </c>
      <c r="D25" s="11" t="s">
        <v>51</v>
      </c>
      <c r="E25" s="11" t="s">
        <v>658</v>
      </c>
      <c r="F25" s="22">
        <v>42729</v>
      </c>
      <c r="G25" s="11">
        <v>17</v>
      </c>
      <c r="H25" s="13">
        <f t="shared" si="0"/>
        <v>2741.9354838709678</v>
      </c>
      <c r="I25" s="13">
        <f t="shared" si="9"/>
        <v>0</v>
      </c>
      <c r="J25" s="13">
        <f t="shared" si="1"/>
        <v>137.09677419354838</v>
      </c>
      <c r="L25" s="13">
        <f t="shared" si="10"/>
        <v>438.70967741935482</v>
      </c>
      <c r="N25" s="13">
        <f>((1950+1000+611+1383)/G$3)*G25</f>
        <v>2711.2258064516127</v>
      </c>
      <c r="O25" s="13">
        <v>0</v>
      </c>
      <c r="Q25" s="13">
        <f t="shared" si="11"/>
        <v>6028.967741935483</v>
      </c>
      <c r="R25" s="12">
        <f t="shared" si="2"/>
        <v>329.0322580645161</v>
      </c>
      <c r="S25" s="12">
        <f t="shared" si="3"/>
        <v>106</v>
      </c>
      <c r="T25" s="21">
        <f t="shared" si="12"/>
        <v>0</v>
      </c>
      <c r="U25" s="13">
        <v>0</v>
      </c>
      <c r="V25" s="13">
        <f t="shared" si="30"/>
        <v>435.0322580645161</v>
      </c>
      <c r="W25" s="13">
        <f t="shared" si="5"/>
        <v>5593.9354838709669</v>
      </c>
      <c r="Y25" s="13">
        <f t="shared" si="14"/>
        <v>5593.9354838709669</v>
      </c>
      <c r="Z25" s="12">
        <f t="shared" si="15"/>
        <v>360.56451612903226</v>
      </c>
      <c r="AA25" s="12">
        <f t="shared" si="6"/>
        <v>287</v>
      </c>
      <c r="AB25" s="1">
        <f t="shared" si="16"/>
        <v>0</v>
      </c>
      <c r="AC25" s="16">
        <f t="shared" si="31"/>
        <v>647.5645161290322</v>
      </c>
      <c r="AD25" s="16">
        <f t="shared" si="8"/>
        <v>6676.5322580645152</v>
      </c>
    </row>
    <row r="26" spans="1:30" x14ac:dyDescent="0.2">
      <c r="A26" s="10" t="s">
        <v>194</v>
      </c>
      <c r="B26" s="11">
        <f t="shared" si="17"/>
        <v>16</v>
      </c>
      <c r="C26" s="11" t="s">
        <v>171</v>
      </c>
      <c r="D26" s="11" t="s">
        <v>51</v>
      </c>
      <c r="E26" s="11" t="s">
        <v>658</v>
      </c>
      <c r="F26" s="22">
        <v>42739</v>
      </c>
      <c r="G26" s="11">
        <v>35</v>
      </c>
      <c r="H26" s="13">
        <f t="shared" si="0"/>
        <v>5645.1612903225805</v>
      </c>
      <c r="I26" s="13">
        <f t="shared" si="9"/>
        <v>0</v>
      </c>
      <c r="J26" s="13">
        <f t="shared" si="1"/>
        <v>282.25806451612902</v>
      </c>
      <c r="L26" s="13">
        <f t="shared" si="10"/>
        <v>903.22580645161281</v>
      </c>
      <c r="N26" s="13">
        <f>((1950+1000+611+1383)/G$3)*G26</f>
        <v>5581.9354838709669</v>
      </c>
      <c r="O26" s="13">
        <v>0</v>
      </c>
      <c r="Q26" s="13">
        <f t="shared" si="11"/>
        <v>12412.580645161288</v>
      </c>
      <c r="R26" s="12">
        <f t="shared" si="2"/>
        <v>677.41935483870964</v>
      </c>
      <c r="S26" s="12">
        <f t="shared" si="3"/>
        <v>218</v>
      </c>
      <c r="T26" s="21">
        <f t="shared" si="12"/>
        <v>200</v>
      </c>
      <c r="U26" s="13">
        <v>0</v>
      </c>
      <c r="V26" s="13">
        <f t="shared" si="30"/>
        <v>1095.4193548387098</v>
      </c>
      <c r="W26" s="13">
        <f t="shared" si="5"/>
        <v>11317.161290322578</v>
      </c>
      <c r="Y26" s="13">
        <f t="shared" si="14"/>
        <v>11317.161290322578</v>
      </c>
      <c r="Z26" s="12">
        <f t="shared" si="15"/>
        <v>742.33870967741939</v>
      </c>
      <c r="AA26" s="12">
        <f t="shared" si="6"/>
        <v>590</v>
      </c>
      <c r="AB26" s="1">
        <f t="shared" si="16"/>
        <v>0</v>
      </c>
      <c r="AC26" s="16">
        <f t="shared" si="31"/>
        <v>1332.3387096774195</v>
      </c>
      <c r="AD26" s="16">
        <f t="shared" si="8"/>
        <v>13744.919354838708</v>
      </c>
    </row>
    <row r="27" spans="1:30" x14ac:dyDescent="0.2">
      <c r="A27" s="10" t="s">
        <v>195</v>
      </c>
      <c r="B27" s="11">
        <f t="shared" si="17"/>
        <v>17</v>
      </c>
      <c r="C27" s="11" t="s">
        <v>172</v>
      </c>
      <c r="D27" s="11" t="s">
        <v>51</v>
      </c>
      <c r="E27" s="11" t="s">
        <v>236</v>
      </c>
      <c r="F27" s="22">
        <v>42739</v>
      </c>
      <c r="G27" s="11">
        <v>33</v>
      </c>
      <c r="H27" s="13">
        <f t="shared" si="0"/>
        <v>5322.5806451612898</v>
      </c>
      <c r="I27" s="13">
        <f t="shared" si="9"/>
        <v>0</v>
      </c>
      <c r="J27" s="13">
        <f t="shared" si="1"/>
        <v>266.12903225806451</v>
      </c>
      <c r="L27" s="13">
        <f t="shared" si="10"/>
        <v>851.61290322580635</v>
      </c>
      <c r="N27" s="13">
        <f t="shared" ref="N27:N28" si="32">((2950)/G$3)*G27</f>
        <v>3140.322580645161</v>
      </c>
      <c r="O27" s="13">
        <v>0</v>
      </c>
      <c r="Q27" s="13">
        <f t="shared" si="11"/>
        <v>9580.645161290322</v>
      </c>
      <c r="R27" s="12">
        <f t="shared" si="2"/>
        <v>638.70967741935476</v>
      </c>
      <c r="S27" s="12">
        <f t="shared" si="3"/>
        <v>168</v>
      </c>
      <c r="T27" s="21">
        <f t="shared" si="12"/>
        <v>175</v>
      </c>
      <c r="U27" s="13">
        <v>0</v>
      </c>
      <c r="V27" s="13">
        <f t="shared" si="30"/>
        <v>981.70967741935476</v>
      </c>
      <c r="W27" s="13">
        <f t="shared" si="5"/>
        <v>8598.9354838709678</v>
      </c>
      <c r="Y27" s="13">
        <f t="shared" si="14"/>
        <v>8598.9354838709678</v>
      </c>
      <c r="Z27" s="12">
        <f t="shared" si="15"/>
        <v>699.91935483870964</v>
      </c>
      <c r="AA27" s="12">
        <f t="shared" si="6"/>
        <v>456</v>
      </c>
      <c r="AB27" s="1">
        <f t="shared" si="16"/>
        <v>0</v>
      </c>
      <c r="AC27" s="16">
        <f t="shared" si="31"/>
        <v>1155.9193548387098</v>
      </c>
      <c r="AD27" s="16">
        <f t="shared" si="8"/>
        <v>10736.564516129032</v>
      </c>
    </row>
    <row r="28" spans="1:30" x14ac:dyDescent="0.2">
      <c r="A28" s="10" t="s">
        <v>196</v>
      </c>
      <c r="B28" s="11">
        <f t="shared" si="17"/>
        <v>18</v>
      </c>
      <c r="C28" s="11" t="s">
        <v>1185</v>
      </c>
      <c r="D28" s="11" t="s">
        <v>51</v>
      </c>
      <c r="E28" s="11" t="s">
        <v>236</v>
      </c>
      <c r="F28" s="22">
        <v>42739</v>
      </c>
      <c r="G28" s="11">
        <v>35</v>
      </c>
      <c r="H28" s="13">
        <f t="shared" si="0"/>
        <v>5645.1612903225805</v>
      </c>
      <c r="I28" s="13">
        <f t="shared" si="9"/>
        <v>0</v>
      </c>
      <c r="J28" s="13">
        <f t="shared" si="1"/>
        <v>282.25806451612902</v>
      </c>
      <c r="L28" s="13">
        <f t="shared" si="10"/>
        <v>903.22580645161281</v>
      </c>
      <c r="N28" s="13">
        <f t="shared" si="32"/>
        <v>3330.6451612903224</v>
      </c>
      <c r="O28" s="13">
        <v>0</v>
      </c>
      <c r="Q28" s="13">
        <f t="shared" si="11"/>
        <v>10161.290322580644</v>
      </c>
      <c r="R28" s="12">
        <f t="shared" si="2"/>
        <v>677.41935483870964</v>
      </c>
      <c r="S28" s="12">
        <f t="shared" si="3"/>
        <v>178</v>
      </c>
      <c r="T28" s="21">
        <f t="shared" si="12"/>
        <v>200</v>
      </c>
      <c r="U28" s="13">
        <v>0</v>
      </c>
      <c r="V28" s="13">
        <f t="shared" si="30"/>
        <v>1055.4193548387098</v>
      </c>
      <c r="W28" s="13">
        <f t="shared" si="5"/>
        <v>9105.8709677419338</v>
      </c>
      <c r="Y28" s="13">
        <f t="shared" si="14"/>
        <v>9105.8709677419338</v>
      </c>
      <c r="Z28" s="12">
        <f t="shared" si="15"/>
        <v>742.33870967741939</v>
      </c>
      <c r="AA28" s="12">
        <f t="shared" si="6"/>
        <v>483</v>
      </c>
      <c r="AB28" s="1">
        <f t="shared" si="16"/>
        <v>0</v>
      </c>
      <c r="AC28" s="16">
        <f t="shared" si="31"/>
        <v>1225.3387096774195</v>
      </c>
      <c r="AD28" s="16">
        <f t="shared" si="8"/>
        <v>11386.629032258064</v>
      </c>
    </row>
    <row r="29" spans="1:30" x14ac:dyDescent="0.2">
      <c r="A29" s="10" t="s">
        <v>197</v>
      </c>
      <c r="B29" s="11">
        <f t="shared" si="17"/>
        <v>19</v>
      </c>
      <c r="C29" s="11" t="s">
        <v>243</v>
      </c>
      <c r="D29" s="11" t="s">
        <v>51</v>
      </c>
      <c r="E29" s="11" t="s">
        <v>658</v>
      </c>
      <c r="F29" s="22">
        <v>42739</v>
      </c>
      <c r="G29" s="11">
        <v>35</v>
      </c>
      <c r="H29" s="13">
        <f t="shared" si="0"/>
        <v>5645.1612903225805</v>
      </c>
      <c r="I29" s="13">
        <f t="shared" si="9"/>
        <v>0</v>
      </c>
      <c r="J29" s="13">
        <f t="shared" si="1"/>
        <v>282.25806451612902</v>
      </c>
      <c r="L29" s="13">
        <f t="shared" si="10"/>
        <v>903.22580645161281</v>
      </c>
      <c r="N29" s="13">
        <f>((1950+1000+611+1383)/G$3)*G29</f>
        <v>5581.9354838709669</v>
      </c>
      <c r="O29" s="13">
        <v>0</v>
      </c>
      <c r="Q29" s="13">
        <f t="shared" si="11"/>
        <v>12412.580645161288</v>
      </c>
      <c r="R29" s="12">
        <f t="shared" si="2"/>
        <v>677.41935483870964</v>
      </c>
      <c r="S29" s="12">
        <f t="shared" si="3"/>
        <v>218</v>
      </c>
      <c r="T29" s="21">
        <f t="shared" si="12"/>
        <v>200</v>
      </c>
      <c r="U29" s="13">
        <v>0</v>
      </c>
      <c r="V29" s="13">
        <f t="shared" si="30"/>
        <v>1095.4193548387098</v>
      </c>
      <c r="W29" s="13">
        <f t="shared" si="5"/>
        <v>11317.161290322578</v>
      </c>
      <c r="Y29" s="13">
        <f t="shared" si="14"/>
        <v>11317.161290322578</v>
      </c>
      <c r="Z29" s="12">
        <f t="shared" si="15"/>
        <v>742.33870967741939</v>
      </c>
      <c r="AA29" s="12">
        <f t="shared" si="6"/>
        <v>590</v>
      </c>
      <c r="AB29" s="1">
        <f t="shared" si="16"/>
        <v>0</v>
      </c>
      <c r="AC29" s="16">
        <f t="shared" si="31"/>
        <v>1332.3387096774195</v>
      </c>
      <c r="AD29" s="16">
        <f t="shared" si="8"/>
        <v>13744.919354838708</v>
      </c>
    </row>
    <row r="30" spans="1:30" x14ac:dyDescent="0.2">
      <c r="A30" s="10" t="s">
        <v>253</v>
      </c>
      <c r="B30" s="11">
        <f t="shared" si="17"/>
        <v>20</v>
      </c>
      <c r="C30" s="11" t="s">
        <v>201</v>
      </c>
      <c r="D30" s="11" t="s">
        <v>51</v>
      </c>
      <c r="E30" s="11" t="s">
        <v>658</v>
      </c>
      <c r="F30" s="22">
        <v>42767</v>
      </c>
      <c r="G30" s="11">
        <v>37</v>
      </c>
      <c r="H30" s="13">
        <f t="shared" si="0"/>
        <v>5967.7419354838703</v>
      </c>
      <c r="I30" s="13">
        <f t="shared" si="9"/>
        <v>0</v>
      </c>
      <c r="J30" s="13">
        <f t="shared" si="1"/>
        <v>298.38709677419354</v>
      </c>
      <c r="L30" s="13">
        <f t="shared" si="10"/>
        <v>954.83870967741927</v>
      </c>
      <c r="N30" s="13">
        <f>((1950+1000+611+1383)/G$3)*G30</f>
        <v>5900.9032258064508</v>
      </c>
      <c r="O30" s="13">
        <v>0</v>
      </c>
      <c r="Q30" s="13">
        <f t="shared" si="11"/>
        <v>13121.870967741934</v>
      </c>
      <c r="R30" s="12">
        <f t="shared" si="2"/>
        <v>716.1290322580644</v>
      </c>
      <c r="S30" s="12">
        <f t="shared" si="3"/>
        <v>230</v>
      </c>
      <c r="T30" s="21">
        <f t="shared" si="12"/>
        <v>200</v>
      </c>
      <c r="U30" s="13">
        <v>0</v>
      </c>
      <c r="V30" s="13">
        <f t="shared" ref="V30:V93" si="33">SUM(R30:U30)</f>
        <v>1146.1290322580644</v>
      </c>
      <c r="W30" s="13">
        <f t="shared" si="5"/>
        <v>11975.741935483869</v>
      </c>
      <c r="Y30" s="13">
        <f t="shared" si="14"/>
        <v>11975.741935483869</v>
      </c>
      <c r="Z30" s="12">
        <f t="shared" si="15"/>
        <v>784.75806451612902</v>
      </c>
      <c r="AA30" s="12">
        <f t="shared" si="6"/>
        <v>624</v>
      </c>
      <c r="AB30" s="1">
        <f t="shared" si="16"/>
        <v>0</v>
      </c>
      <c r="AC30" s="16">
        <f t="shared" ref="AC30:AC44" si="34">SUM(Z30:AB30)</f>
        <v>1408.758064516129</v>
      </c>
      <c r="AD30" s="16">
        <f t="shared" si="8"/>
        <v>14530.629032258063</v>
      </c>
    </row>
    <row r="31" spans="1:30" x14ac:dyDescent="0.2">
      <c r="A31" s="10" t="s">
        <v>245</v>
      </c>
      <c r="B31" s="11">
        <f t="shared" si="17"/>
        <v>21</v>
      </c>
      <c r="C31" s="11" t="s">
        <v>244</v>
      </c>
      <c r="D31" s="11" t="s">
        <v>51</v>
      </c>
      <c r="E31" s="11" t="s">
        <v>657</v>
      </c>
      <c r="F31" s="22">
        <v>42767</v>
      </c>
      <c r="G31" s="11">
        <v>31</v>
      </c>
      <c r="H31" s="13">
        <f t="shared" si="0"/>
        <v>5000</v>
      </c>
      <c r="I31" s="13">
        <f t="shared" si="9"/>
        <v>0</v>
      </c>
      <c r="J31" s="13">
        <f t="shared" si="1"/>
        <v>250</v>
      </c>
      <c r="L31" s="13">
        <f t="shared" si="10"/>
        <v>800</v>
      </c>
      <c r="N31" s="13">
        <f t="shared" ref="N31" si="35">((2950)/G$3)*G31</f>
        <v>2950</v>
      </c>
      <c r="O31" s="13">
        <v>0</v>
      </c>
      <c r="Q31" s="13">
        <f t="shared" si="11"/>
        <v>9000</v>
      </c>
      <c r="R31" s="12">
        <f t="shared" si="2"/>
        <v>600</v>
      </c>
      <c r="S31" s="12">
        <f t="shared" si="3"/>
        <v>158</v>
      </c>
      <c r="T31" s="21">
        <f t="shared" si="12"/>
        <v>175</v>
      </c>
      <c r="U31" s="13">
        <v>0</v>
      </c>
      <c r="V31" s="13">
        <f t="shared" si="33"/>
        <v>933</v>
      </c>
      <c r="W31" s="13">
        <f t="shared" si="5"/>
        <v>8067</v>
      </c>
      <c r="Y31" s="13">
        <f t="shared" si="14"/>
        <v>8067</v>
      </c>
      <c r="Z31" s="12">
        <f t="shared" si="15"/>
        <v>657.5</v>
      </c>
      <c r="AA31" s="12">
        <f t="shared" si="6"/>
        <v>428</v>
      </c>
      <c r="AB31" s="1">
        <f t="shared" si="16"/>
        <v>0</v>
      </c>
      <c r="AC31" s="16">
        <f t="shared" si="34"/>
        <v>1085.5</v>
      </c>
      <c r="AD31" s="16">
        <f t="shared" si="8"/>
        <v>10085.5</v>
      </c>
    </row>
    <row r="32" spans="1:30" x14ac:dyDescent="0.2">
      <c r="A32" s="10" t="s">
        <v>289</v>
      </c>
      <c r="B32" s="11">
        <f t="shared" si="17"/>
        <v>22</v>
      </c>
      <c r="C32" s="11" t="s">
        <v>252</v>
      </c>
      <c r="D32" s="11" t="s">
        <v>51</v>
      </c>
      <c r="E32" s="11" t="s">
        <v>581</v>
      </c>
      <c r="F32" s="22">
        <v>42795</v>
      </c>
      <c r="G32" s="11">
        <v>36</v>
      </c>
      <c r="H32" s="13">
        <f t="shared" si="0"/>
        <v>5806.4516129032254</v>
      </c>
      <c r="I32" s="13">
        <f t="shared" si="9"/>
        <v>0</v>
      </c>
      <c r="J32" s="13">
        <f t="shared" si="1"/>
        <v>290.32258064516128</v>
      </c>
      <c r="L32" s="13">
        <f t="shared" si="10"/>
        <v>929.0322580645161</v>
      </c>
      <c r="N32" s="13">
        <f>((2950+2000)/G$3)*G32</f>
        <v>5748.3870967741941</v>
      </c>
      <c r="O32" s="13">
        <v>0</v>
      </c>
      <c r="Q32" s="13">
        <f t="shared" si="11"/>
        <v>12774.193548387097</v>
      </c>
      <c r="R32" s="12">
        <f t="shared" si="2"/>
        <v>696.77419354838707</v>
      </c>
      <c r="S32" s="12">
        <f t="shared" si="3"/>
        <v>224</v>
      </c>
      <c r="T32" s="21">
        <f t="shared" si="12"/>
        <v>200</v>
      </c>
      <c r="U32" s="13">
        <v>0</v>
      </c>
      <c r="V32" s="13">
        <f t="shared" si="33"/>
        <v>1120.7741935483871</v>
      </c>
      <c r="W32" s="13">
        <f t="shared" si="5"/>
        <v>11653.41935483871</v>
      </c>
      <c r="Y32" s="13">
        <f t="shared" si="14"/>
        <v>11653.41935483871</v>
      </c>
      <c r="Z32" s="12">
        <f t="shared" si="15"/>
        <v>763.54838709677415</v>
      </c>
      <c r="AA32" s="12">
        <f t="shared" si="6"/>
        <v>607</v>
      </c>
      <c r="AB32" s="1">
        <f t="shared" si="16"/>
        <v>0</v>
      </c>
      <c r="AC32" s="16">
        <f t="shared" si="34"/>
        <v>1370.5483870967741</v>
      </c>
      <c r="AD32" s="16">
        <f t="shared" si="8"/>
        <v>14144.741935483871</v>
      </c>
    </row>
    <row r="33" spans="1:30" x14ac:dyDescent="0.2">
      <c r="A33" s="10" t="s">
        <v>290</v>
      </c>
      <c r="B33" s="11">
        <f t="shared" si="17"/>
        <v>23</v>
      </c>
      <c r="C33" s="11" t="s">
        <v>246</v>
      </c>
      <c r="D33" s="11" t="s">
        <v>51</v>
      </c>
      <c r="E33" s="11" t="s">
        <v>660</v>
      </c>
      <c r="F33" s="22">
        <v>42796</v>
      </c>
      <c r="G33" s="11">
        <v>34</v>
      </c>
      <c r="H33" s="13">
        <f t="shared" si="0"/>
        <v>5483.8709677419356</v>
      </c>
      <c r="I33" s="13">
        <f t="shared" si="9"/>
        <v>0</v>
      </c>
      <c r="J33" s="13">
        <f t="shared" si="1"/>
        <v>274.19354838709677</v>
      </c>
      <c r="L33" s="13">
        <f t="shared" si="10"/>
        <v>877.41935483870964</v>
      </c>
      <c r="N33" s="13">
        <f>((2950+3000)/G$3)*G33</f>
        <v>6525.8064516129034</v>
      </c>
      <c r="O33" s="13">
        <v>0</v>
      </c>
      <c r="Q33" s="13">
        <f t="shared" si="11"/>
        <v>13161.290322580644</v>
      </c>
      <c r="R33" s="12">
        <f t="shared" si="2"/>
        <v>658.0645161290322</v>
      </c>
      <c r="S33" s="12">
        <f t="shared" si="3"/>
        <v>231</v>
      </c>
      <c r="T33" s="21">
        <f t="shared" si="12"/>
        <v>200</v>
      </c>
      <c r="U33" s="13">
        <v>0</v>
      </c>
      <c r="V33" s="13">
        <f t="shared" si="33"/>
        <v>1089.0645161290322</v>
      </c>
      <c r="W33" s="13">
        <f t="shared" si="5"/>
        <v>12072.225806451612</v>
      </c>
      <c r="Y33" s="13">
        <f t="shared" si="14"/>
        <v>12072.225806451612</v>
      </c>
      <c r="Z33" s="12">
        <f t="shared" si="15"/>
        <v>721.12903225806451</v>
      </c>
      <c r="AA33" s="12">
        <f t="shared" si="6"/>
        <v>626</v>
      </c>
      <c r="AB33" s="1">
        <f t="shared" si="16"/>
        <v>0</v>
      </c>
      <c r="AC33" s="16">
        <f t="shared" si="34"/>
        <v>1347.1290322580644</v>
      </c>
      <c r="AD33" s="16">
        <f t="shared" si="8"/>
        <v>14508.419354838708</v>
      </c>
    </row>
    <row r="34" spans="1:30" x14ac:dyDescent="0.2">
      <c r="A34" s="10" t="s">
        <v>291</v>
      </c>
      <c r="B34" s="11">
        <f t="shared" si="17"/>
        <v>24</v>
      </c>
      <c r="C34" s="11" t="s">
        <v>247</v>
      </c>
      <c r="D34" s="11" t="s">
        <v>51</v>
      </c>
      <c r="E34" s="11" t="s">
        <v>658</v>
      </c>
      <c r="F34" s="22">
        <v>42801</v>
      </c>
      <c r="G34" s="11">
        <v>32</v>
      </c>
      <c r="H34" s="13">
        <f t="shared" si="0"/>
        <v>5161.2903225806449</v>
      </c>
      <c r="I34" s="13">
        <f t="shared" si="9"/>
        <v>0</v>
      </c>
      <c r="J34" s="13">
        <f t="shared" si="1"/>
        <v>258.06451612903226</v>
      </c>
      <c r="L34" s="13">
        <f t="shared" si="10"/>
        <v>825.80645161290317</v>
      </c>
      <c r="N34" s="13">
        <f>((1950+1000+611+1383)/G$3)*G34</f>
        <v>5103.4838709677415</v>
      </c>
      <c r="O34" s="13">
        <v>0</v>
      </c>
      <c r="Q34" s="13">
        <f t="shared" si="11"/>
        <v>11348.645161290322</v>
      </c>
      <c r="R34" s="12">
        <f t="shared" si="2"/>
        <v>619.35483870967732</v>
      </c>
      <c r="S34" s="12">
        <f t="shared" si="3"/>
        <v>199</v>
      </c>
      <c r="T34" s="21">
        <f t="shared" si="12"/>
        <v>200</v>
      </c>
      <c r="U34" s="13">
        <v>0</v>
      </c>
      <c r="V34" s="13">
        <f t="shared" si="33"/>
        <v>1018.3548387096773</v>
      </c>
      <c r="W34" s="13">
        <f t="shared" si="5"/>
        <v>10330.290322580644</v>
      </c>
      <c r="Y34" s="13">
        <f t="shared" si="14"/>
        <v>10330.290322580644</v>
      </c>
      <c r="Z34" s="12">
        <f t="shared" si="15"/>
        <v>678.70967741935488</v>
      </c>
      <c r="AA34" s="12">
        <f t="shared" si="6"/>
        <v>540</v>
      </c>
      <c r="AB34" s="1">
        <f t="shared" si="16"/>
        <v>0</v>
      </c>
      <c r="AC34" s="16">
        <f t="shared" si="34"/>
        <v>1218.7096774193549</v>
      </c>
      <c r="AD34" s="16">
        <f t="shared" si="8"/>
        <v>12567.354838709676</v>
      </c>
    </row>
    <row r="35" spans="1:30" x14ac:dyDescent="0.2">
      <c r="A35" s="10" t="s">
        <v>292</v>
      </c>
      <c r="B35" s="11">
        <f t="shared" si="17"/>
        <v>25</v>
      </c>
      <c r="C35" s="11" t="s">
        <v>248</v>
      </c>
      <c r="D35" s="11" t="s">
        <v>51</v>
      </c>
      <c r="E35" s="11" t="s">
        <v>658</v>
      </c>
      <c r="F35" s="22">
        <v>42815</v>
      </c>
      <c r="G35" s="11">
        <v>25</v>
      </c>
      <c r="H35" s="13">
        <f t="shared" si="0"/>
        <v>4032.2580645161288</v>
      </c>
      <c r="I35" s="13">
        <f t="shared" si="9"/>
        <v>0</v>
      </c>
      <c r="J35" s="13">
        <f t="shared" si="1"/>
        <v>201.61290322580646</v>
      </c>
      <c r="L35" s="13">
        <f t="shared" si="10"/>
        <v>645.16129032258061</v>
      </c>
      <c r="N35" s="13">
        <f>((1950+1000+611+1383)/G$3)*G35</f>
        <v>3987.0967741935478</v>
      </c>
      <c r="O35" s="13">
        <v>0</v>
      </c>
      <c r="Q35" s="13">
        <f t="shared" si="11"/>
        <v>8866.1290322580644</v>
      </c>
      <c r="R35" s="12">
        <f t="shared" si="2"/>
        <v>483.87096774193543</v>
      </c>
      <c r="S35" s="12">
        <f t="shared" si="3"/>
        <v>156</v>
      </c>
      <c r="T35" s="21">
        <f t="shared" si="12"/>
        <v>175</v>
      </c>
      <c r="U35" s="13">
        <v>0</v>
      </c>
      <c r="V35" s="13">
        <f t="shared" si="33"/>
        <v>814.87096774193537</v>
      </c>
      <c r="W35" s="13">
        <f t="shared" si="5"/>
        <v>8051.2580645161288</v>
      </c>
      <c r="Y35" s="13">
        <f t="shared" si="14"/>
        <v>8051.2580645161288</v>
      </c>
      <c r="Z35" s="12">
        <f t="shared" si="15"/>
        <v>530.24193548387098</v>
      </c>
      <c r="AA35" s="12">
        <f t="shared" si="6"/>
        <v>422</v>
      </c>
      <c r="AB35" s="1">
        <f t="shared" si="16"/>
        <v>0</v>
      </c>
      <c r="AC35" s="16">
        <f t="shared" si="34"/>
        <v>952.24193548387098</v>
      </c>
      <c r="AD35" s="16">
        <f t="shared" si="8"/>
        <v>9818.3709677419356</v>
      </c>
    </row>
    <row r="36" spans="1:30" x14ac:dyDescent="0.2">
      <c r="A36" s="10" t="s">
        <v>293</v>
      </c>
      <c r="B36" s="11">
        <f t="shared" si="17"/>
        <v>26</v>
      </c>
      <c r="C36" s="11" t="s">
        <v>249</v>
      </c>
      <c r="D36" s="11" t="s">
        <v>51</v>
      </c>
      <c r="E36" s="11" t="s">
        <v>236</v>
      </c>
      <c r="F36" s="22">
        <v>42815</v>
      </c>
      <c r="G36" s="11">
        <v>29</v>
      </c>
      <c r="H36" s="13">
        <f t="shared" si="0"/>
        <v>4677.4193548387093</v>
      </c>
      <c r="I36" s="13">
        <f t="shared" si="9"/>
        <v>0</v>
      </c>
      <c r="J36" s="13">
        <f t="shared" si="1"/>
        <v>233.87096774193549</v>
      </c>
      <c r="L36" s="13">
        <f t="shared" si="10"/>
        <v>748.38709677419354</v>
      </c>
      <c r="N36" s="13">
        <f t="shared" ref="N36" si="36">((2950)/G$3)*G36</f>
        <v>2759.6774193548385</v>
      </c>
      <c r="O36" s="13">
        <v>0</v>
      </c>
      <c r="Q36" s="13">
        <f t="shared" si="11"/>
        <v>8419.3548387096762</v>
      </c>
      <c r="R36" s="12">
        <f t="shared" si="2"/>
        <v>561.29032258064512</v>
      </c>
      <c r="S36" s="12">
        <f t="shared" si="3"/>
        <v>148</v>
      </c>
      <c r="T36" s="21">
        <f t="shared" si="12"/>
        <v>175</v>
      </c>
      <c r="U36" s="13">
        <v>0</v>
      </c>
      <c r="V36" s="13">
        <f t="shared" si="33"/>
        <v>884.29032258064512</v>
      </c>
      <c r="W36" s="13">
        <f t="shared" si="5"/>
        <v>7535.0645161290313</v>
      </c>
      <c r="Y36" s="13">
        <f t="shared" si="14"/>
        <v>7535.0645161290313</v>
      </c>
      <c r="Z36" s="12">
        <f t="shared" si="15"/>
        <v>615.08064516129025</v>
      </c>
      <c r="AA36" s="12">
        <f t="shared" si="6"/>
        <v>400</v>
      </c>
      <c r="AB36" s="1">
        <f t="shared" si="16"/>
        <v>0</v>
      </c>
      <c r="AC36" s="16">
        <f t="shared" si="34"/>
        <v>1015.0806451612902</v>
      </c>
      <c r="AD36" s="16">
        <f t="shared" si="8"/>
        <v>9434.435483870966</v>
      </c>
    </row>
    <row r="37" spans="1:30" x14ac:dyDescent="0.2">
      <c r="A37" s="10" t="s">
        <v>294</v>
      </c>
      <c r="B37" s="11">
        <f t="shared" si="17"/>
        <v>27</v>
      </c>
      <c r="C37" s="11" t="s">
        <v>250</v>
      </c>
      <c r="D37" s="11" t="s">
        <v>51</v>
      </c>
      <c r="E37" s="11" t="s">
        <v>238</v>
      </c>
      <c r="F37" s="22">
        <v>42810</v>
      </c>
      <c r="G37" s="11">
        <v>31</v>
      </c>
      <c r="H37" s="13">
        <f t="shared" si="0"/>
        <v>5000</v>
      </c>
      <c r="I37" s="13">
        <f t="shared" si="9"/>
        <v>0</v>
      </c>
      <c r="J37" s="13">
        <f t="shared" si="1"/>
        <v>250</v>
      </c>
      <c r="L37" s="13">
        <f t="shared" si="10"/>
        <v>800</v>
      </c>
      <c r="N37" s="13">
        <f>((2950+3000)/G$3)*G37</f>
        <v>5950</v>
      </c>
      <c r="O37" s="13">
        <v>0</v>
      </c>
      <c r="Q37" s="13">
        <f t="shared" si="11"/>
        <v>12000</v>
      </c>
      <c r="R37" s="12">
        <f t="shared" si="2"/>
        <v>600</v>
      </c>
      <c r="S37" s="12">
        <f t="shared" si="3"/>
        <v>210</v>
      </c>
      <c r="T37" s="21">
        <f t="shared" si="12"/>
        <v>200</v>
      </c>
      <c r="U37" s="13">
        <v>0</v>
      </c>
      <c r="V37" s="13">
        <f t="shared" si="33"/>
        <v>1010</v>
      </c>
      <c r="W37" s="13">
        <f t="shared" si="5"/>
        <v>10990</v>
      </c>
      <c r="Y37" s="13">
        <f t="shared" si="14"/>
        <v>10990</v>
      </c>
      <c r="Z37" s="12">
        <f t="shared" si="15"/>
        <v>657.5</v>
      </c>
      <c r="AA37" s="12">
        <f t="shared" si="6"/>
        <v>570</v>
      </c>
      <c r="AB37" s="1">
        <f t="shared" si="16"/>
        <v>0</v>
      </c>
      <c r="AC37" s="16">
        <f t="shared" si="34"/>
        <v>1227.5</v>
      </c>
      <c r="AD37" s="16">
        <f t="shared" si="8"/>
        <v>13227.5</v>
      </c>
    </row>
    <row r="38" spans="1:30" x14ac:dyDescent="0.2">
      <c r="A38" s="10" t="s">
        <v>410</v>
      </c>
      <c r="B38" s="11">
        <f t="shared" si="17"/>
        <v>28</v>
      </c>
      <c r="C38" s="11" t="s">
        <v>310</v>
      </c>
      <c r="D38" s="11" t="s">
        <v>51</v>
      </c>
      <c r="E38" s="11" t="s">
        <v>581</v>
      </c>
      <c r="F38" s="22">
        <v>42832</v>
      </c>
      <c r="G38" s="11">
        <v>34</v>
      </c>
      <c r="H38" s="13">
        <f t="shared" si="0"/>
        <v>5483.8709677419356</v>
      </c>
      <c r="I38" s="13">
        <f t="shared" si="9"/>
        <v>0</v>
      </c>
      <c r="J38" s="13">
        <f t="shared" si="1"/>
        <v>274.19354838709677</v>
      </c>
      <c r="L38" s="13">
        <f t="shared" si="10"/>
        <v>877.41935483870964</v>
      </c>
      <c r="N38" s="13">
        <f>((2950+6000)/G$3)*G38</f>
        <v>9816.1290322580644</v>
      </c>
      <c r="O38" s="13">
        <v>0</v>
      </c>
      <c r="Q38" s="13">
        <f t="shared" si="11"/>
        <v>16451.612903225807</v>
      </c>
      <c r="R38" s="12">
        <f t="shared" si="2"/>
        <v>658.0645161290322</v>
      </c>
      <c r="S38" s="12">
        <f t="shared" si="3"/>
        <v>288</v>
      </c>
      <c r="T38" s="21">
        <f t="shared" si="12"/>
        <v>200</v>
      </c>
      <c r="U38" s="13">
        <v>0</v>
      </c>
      <c r="V38" s="13">
        <f t="shared" si="33"/>
        <v>1146.0645161290322</v>
      </c>
      <c r="W38" s="13">
        <f t="shared" si="5"/>
        <v>15305.548387096775</v>
      </c>
      <c r="Y38" s="13">
        <f t="shared" si="14"/>
        <v>15305.548387096775</v>
      </c>
      <c r="Z38" s="12">
        <f t="shared" si="15"/>
        <v>721.12903225806451</v>
      </c>
      <c r="AA38" s="12">
        <f t="shared" si="6"/>
        <v>782</v>
      </c>
      <c r="AB38" s="1">
        <f t="shared" si="16"/>
        <v>0</v>
      </c>
      <c r="AC38" s="16">
        <f t="shared" si="34"/>
        <v>1503.1290322580644</v>
      </c>
      <c r="AD38" s="16">
        <f t="shared" si="8"/>
        <v>17954.741935483871</v>
      </c>
    </row>
    <row r="39" spans="1:30" x14ac:dyDescent="0.2">
      <c r="A39" s="10" t="s">
        <v>411</v>
      </c>
      <c r="B39" s="11">
        <f t="shared" si="17"/>
        <v>29</v>
      </c>
      <c r="C39" s="11" t="s">
        <v>311</v>
      </c>
      <c r="D39" s="11" t="s">
        <v>51</v>
      </c>
      <c r="E39" s="11" t="s">
        <v>661</v>
      </c>
      <c r="F39" s="22">
        <v>42843</v>
      </c>
      <c r="G39" s="11">
        <v>32</v>
      </c>
      <c r="H39" s="13">
        <f t="shared" si="0"/>
        <v>5161.2903225806449</v>
      </c>
      <c r="I39" s="13">
        <f t="shared" si="9"/>
        <v>0</v>
      </c>
      <c r="J39" s="13">
        <f t="shared" si="1"/>
        <v>258.06451612903226</v>
      </c>
      <c r="L39" s="13">
        <f t="shared" si="10"/>
        <v>825.80645161290317</v>
      </c>
      <c r="N39" s="13">
        <f>((2950+4500)/G$3)*G39</f>
        <v>7690.322580645161</v>
      </c>
      <c r="O39" s="13">
        <v>0</v>
      </c>
      <c r="Q39" s="13">
        <f t="shared" si="11"/>
        <v>13935.483870967742</v>
      </c>
      <c r="R39" s="12">
        <f t="shared" si="2"/>
        <v>619.35483870967732</v>
      </c>
      <c r="S39" s="12">
        <f t="shared" si="3"/>
        <v>244</v>
      </c>
      <c r="T39" s="21">
        <f t="shared" si="12"/>
        <v>200</v>
      </c>
      <c r="U39" s="13">
        <v>0</v>
      </c>
      <c r="V39" s="13">
        <f t="shared" si="33"/>
        <v>1063.3548387096773</v>
      </c>
      <c r="W39" s="13">
        <f t="shared" si="5"/>
        <v>12872.129032258064</v>
      </c>
      <c r="Y39" s="13">
        <f t="shared" si="14"/>
        <v>12872.129032258064</v>
      </c>
      <c r="Z39" s="12">
        <f t="shared" si="15"/>
        <v>678.70967741935488</v>
      </c>
      <c r="AA39" s="12">
        <f t="shared" si="6"/>
        <v>662</v>
      </c>
      <c r="AB39" s="1">
        <f t="shared" si="16"/>
        <v>0</v>
      </c>
      <c r="AC39" s="16">
        <f t="shared" si="34"/>
        <v>1340.7096774193549</v>
      </c>
      <c r="AD39" s="16">
        <f t="shared" si="8"/>
        <v>15276.193548387097</v>
      </c>
    </row>
    <row r="40" spans="1:30" hidden="1" x14ac:dyDescent="0.2">
      <c r="A40" s="10" t="s">
        <v>413</v>
      </c>
      <c r="B40" s="11">
        <f t="shared" si="17"/>
        <v>30</v>
      </c>
      <c r="C40" s="11" t="s">
        <v>314</v>
      </c>
      <c r="D40" s="11" t="s">
        <v>51</v>
      </c>
      <c r="E40" s="11" t="s">
        <v>658</v>
      </c>
      <c r="F40" s="22" t="s">
        <v>322</v>
      </c>
      <c r="H40" s="13">
        <f t="shared" si="0"/>
        <v>0</v>
      </c>
      <c r="I40" s="13">
        <f t="shared" si="9"/>
        <v>0</v>
      </c>
      <c r="J40" s="13">
        <f t="shared" si="1"/>
        <v>0</v>
      </c>
      <c r="L40" s="13">
        <f t="shared" si="10"/>
        <v>0</v>
      </c>
      <c r="N40" s="13">
        <f>((1950+1000+611+1383)/G$3)*G40</f>
        <v>0</v>
      </c>
      <c r="O40" s="13">
        <v>0</v>
      </c>
      <c r="Q40" s="13">
        <f t="shared" si="11"/>
        <v>0</v>
      </c>
      <c r="R40" s="12">
        <f t="shared" si="2"/>
        <v>0</v>
      </c>
      <c r="S40" s="12">
        <f t="shared" si="3"/>
        <v>0</v>
      </c>
      <c r="T40" s="21">
        <f t="shared" si="12"/>
        <v>0</v>
      </c>
      <c r="U40" s="13">
        <v>0</v>
      </c>
      <c r="V40" s="13">
        <f t="shared" si="33"/>
        <v>0</v>
      </c>
      <c r="W40" s="13">
        <f t="shared" si="5"/>
        <v>0</v>
      </c>
      <c r="Y40" s="13">
        <f t="shared" si="14"/>
        <v>0</v>
      </c>
      <c r="Z40" s="12">
        <f t="shared" si="15"/>
        <v>0</v>
      </c>
      <c r="AA40" s="12">
        <f t="shared" si="6"/>
        <v>0</v>
      </c>
      <c r="AB40" s="1">
        <f t="shared" si="16"/>
        <v>0</v>
      </c>
      <c r="AC40" s="16">
        <f t="shared" si="34"/>
        <v>0</v>
      </c>
      <c r="AD40" s="16">
        <f t="shared" si="8"/>
        <v>0</v>
      </c>
    </row>
    <row r="41" spans="1:30" x14ac:dyDescent="0.2">
      <c r="A41" s="10" t="s">
        <v>414</v>
      </c>
      <c r="B41" s="11">
        <v>30</v>
      </c>
      <c r="C41" s="11" t="s">
        <v>313</v>
      </c>
      <c r="D41" s="11" t="s">
        <v>51</v>
      </c>
      <c r="E41" s="11" t="s">
        <v>658</v>
      </c>
      <c r="F41" s="22" t="s">
        <v>323</v>
      </c>
      <c r="G41" s="11">
        <v>28</v>
      </c>
      <c r="H41" s="13">
        <f t="shared" si="0"/>
        <v>4516.1290322580644</v>
      </c>
      <c r="I41" s="13">
        <f t="shared" si="9"/>
        <v>0</v>
      </c>
      <c r="J41" s="13">
        <f t="shared" si="1"/>
        <v>225.80645161290323</v>
      </c>
      <c r="L41" s="13">
        <f t="shared" si="10"/>
        <v>722.58064516129025</v>
      </c>
      <c r="N41" s="13">
        <f>((1950+1000+611+1383)/G$3)*G41</f>
        <v>4465.5483870967737</v>
      </c>
      <c r="O41" s="13">
        <v>0</v>
      </c>
      <c r="Q41" s="13">
        <f t="shared" si="11"/>
        <v>9930.0645161290304</v>
      </c>
      <c r="R41" s="12">
        <f t="shared" si="2"/>
        <v>541.93548387096769</v>
      </c>
      <c r="S41" s="12">
        <f t="shared" si="3"/>
        <v>174</v>
      </c>
      <c r="T41" s="21">
        <f t="shared" si="12"/>
        <v>175</v>
      </c>
      <c r="U41" s="13">
        <v>0</v>
      </c>
      <c r="V41" s="13">
        <f t="shared" si="33"/>
        <v>890.93548387096769</v>
      </c>
      <c r="W41" s="13">
        <f t="shared" si="5"/>
        <v>9039.1290322580626</v>
      </c>
      <c r="Y41" s="13">
        <f t="shared" si="14"/>
        <v>9039.1290322580626</v>
      </c>
      <c r="Z41" s="12">
        <f t="shared" si="15"/>
        <v>593.87096774193549</v>
      </c>
      <c r="AA41" s="12">
        <f t="shared" si="6"/>
        <v>472</v>
      </c>
      <c r="AB41" s="1">
        <f t="shared" si="16"/>
        <v>0</v>
      </c>
      <c r="AC41" s="16">
        <f t="shared" si="34"/>
        <v>1065.8709677419356</v>
      </c>
      <c r="AD41" s="16">
        <f t="shared" si="8"/>
        <v>10995.935483870966</v>
      </c>
    </row>
    <row r="42" spans="1:30" x14ac:dyDescent="0.2">
      <c r="A42" s="10" t="s">
        <v>467</v>
      </c>
      <c r="B42" s="11">
        <f t="shared" si="17"/>
        <v>31</v>
      </c>
      <c r="C42" s="11" t="s">
        <v>334</v>
      </c>
      <c r="D42" s="11" t="s">
        <v>51</v>
      </c>
      <c r="E42" s="11" t="s">
        <v>662</v>
      </c>
      <c r="F42" s="22">
        <v>42856</v>
      </c>
      <c r="G42" s="11">
        <v>35</v>
      </c>
      <c r="H42" s="13">
        <f t="shared" si="0"/>
        <v>5645.1612903225805</v>
      </c>
      <c r="I42" s="13">
        <f t="shared" si="9"/>
        <v>0</v>
      </c>
      <c r="J42" s="13">
        <f t="shared" si="1"/>
        <v>282.25806451612902</v>
      </c>
      <c r="L42" s="13">
        <f t="shared" si="10"/>
        <v>903.22580645161281</v>
      </c>
      <c r="N42" s="13">
        <f>((2950+8100)/G$3)*G42</f>
        <v>12475.806451612903</v>
      </c>
      <c r="O42" s="13">
        <v>0</v>
      </c>
      <c r="Q42" s="13">
        <f t="shared" si="11"/>
        <v>19306.451612903227</v>
      </c>
      <c r="R42" s="12">
        <f t="shared" si="2"/>
        <v>677.41935483870964</v>
      </c>
      <c r="S42" s="12">
        <f t="shared" si="3"/>
        <v>338</v>
      </c>
      <c r="T42" s="21">
        <f t="shared" si="12"/>
        <v>200</v>
      </c>
      <c r="U42" s="13">
        <v>0</v>
      </c>
      <c r="V42" s="13">
        <f t="shared" si="33"/>
        <v>1215.4193548387098</v>
      </c>
      <c r="W42" s="13">
        <f t="shared" si="5"/>
        <v>18091.032258064519</v>
      </c>
      <c r="Y42" s="13">
        <f t="shared" si="14"/>
        <v>18091.032258064519</v>
      </c>
      <c r="Z42" s="12">
        <f t="shared" si="15"/>
        <v>742.33870967741939</v>
      </c>
      <c r="AA42" s="12">
        <f t="shared" si="6"/>
        <v>918</v>
      </c>
      <c r="AB42" s="1">
        <f t="shared" si="16"/>
        <v>0</v>
      </c>
      <c r="AC42" s="16">
        <f t="shared" si="34"/>
        <v>1660.3387096774195</v>
      </c>
      <c r="AD42" s="16">
        <f t="shared" si="8"/>
        <v>20966.790322580648</v>
      </c>
    </row>
    <row r="43" spans="1:30" x14ac:dyDescent="0.2">
      <c r="A43" s="10" t="s">
        <v>468</v>
      </c>
      <c r="B43" s="11">
        <f t="shared" si="17"/>
        <v>32</v>
      </c>
      <c r="C43" s="11" t="s">
        <v>335</v>
      </c>
      <c r="D43" s="11" t="s">
        <v>51</v>
      </c>
      <c r="E43" s="11" t="s">
        <v>663</v>
      </c>
      <c r="F43" s="22">
        <v>42856</v>
      </c>
      <c r="G43" s="11">
        <v>32</v>
      </c>
      <c r="H43" s="13">
        <f t="shared" si="0"/>
        <v>5161.2903225806449</v>
      </c>
      <c r="I43" s="13">
        <f t="shared" si="9"/>
        <v>0</v>
      </c>
      <c r="J43" s="13">
        <f t="shared" si="1"/>
        <v>258.06451612903226</v>
      </c>
      <c r="L43" s="13">
        <f t="shared" si="10"/>
        <v>825.80645161290317</v>
      </c>
      <c r="N43" s="13">
        <f>((2950+2000)/G$3)*G43</f>
        <v>5109.677419354839</v>
      </c>
      <c r="O43" s="13">
        <v>0</v>
      </c>
      <c r="Q43" s="13">
        <f t="shared" si="11"/>
        <v>11354.83870967742</v>
      </c>
      <c r="R43" s="12">
        <f t="shared" si="2"/>
        <v>619.35483870967732</v>
      </c>
      <c r="S43" s="12">
        <f t="shared" si="3"/>
        <v>199</v>
      </c>
      <c r="T43" s="21">
        <f t="shared" si="12"/>
        <v>200</v>
      </c>
      <c r="U43" s="13">
        <v>0</v>
      </c>
      <c r="V43" s="13">
        <f t="shared" si="33"/>
        <v>1018.3548387096773</v>
      </c>
      <c r="W43" s="13">
        <f t="shared" si="5"/>
        <v>10336.483870967742</v>
      </c>
      <c r="Y43" s="13">
        <f t="shared" si="14"/>
        <v>10336.483870967742</v>
      </c>
      <c r="Z43" s="12">
        <f t="shared" si="15"/>
        <v>678.70967741935488</v>
      </c>
      <c r="AA43" s="12">
        <f t="shared" si="6"/>
        <v>540</v>
      </c>
      <c r="AB43" s="1">
        <f t="shared" si="16"/>
        <v>0</v>
      </c>
      <c r="AC43" s="16">
        <f t="shared" si="34"/>
        <v>1218.7096774193549</v>
      </c>
      <c r="AD43" s="16">
        <f t="shared" si="8"/>
        <v>12573.548387096775</v>
      </c>
    </row>
    <row r="44" spans="1:30" x14ac:dyDescent="0.2">
      <c r="A44" s="10" t="s">
        <v>469</v>
      </c>
      <c r="B44" s="11">
        <f t="shared" si="17"/>
        <v>33</v>
      </c>
      <c r="C44" s="11" t="s">
        <v>336</v>
      </c>
      <c r="D44" s="11" t="s">
        <v>51</v>
      </c>
      <c r="E44" s="11" t="s">
        <v>661</v>
      </c>
      <c r="F44" s="22">
        <v>42856</v>
      </c>
      <c r="G44" s="11">
        <v>27</v>
      </c>
      <c r="H44" s="13">
        <f t="shared" si="0"/>
        <v>4354.8387096774195</v>
      </c>
      <c r="I44" s="13">
        <f t="shared" si="9"/>
        <v>0</v>
      </c>
      <c r="J44" s="13">
        <f t="shared" si="1"/>
        <v>217.74193548387098</v>
      </c>
      <c r="L44" s="13">
        <f t="shared" si="10"/>
        <v>696.77419354838707</v>
      </c>
      <c r="N44" s="13">
        <f>((2950+4000)/G$3)*G44</f>
        <v>6053.2258064516127</v>
      </c>
      <c r="O44" s="13">
        <v>0</v>
      </c>
      <c r="Q44" s="13">
        <f t="shared" si="11"/>
        <v>11322.580645161292</v>
      </c>
      <c r="R44" s="12">
        <f t="shared" si="2"/>
        <v>522.58064516129036</v>
      </c>
      <c r="S44" s="12">
        <f t="shared" si="3"/>
        <v>199</v>
      </c>
      <c r="T44" s="21">
        <f t="shared" si="12"/>
        <v>200</v>
      </c>
      <c r="U44" s="13">
        <v>0</v>
      </c>
      <c r="V44" s="13">
        <f t="shared" si="33"/>
        <v>921.58064516129036</v>
      </c>
      <c r="W44" s="13">
        <f t="shared" si="5"/>
        <v>10401.000000000002</v>
      </c>
      <c r="Y44" s="13">
        <f t="shared" si="14"/>
        <v>10401.000000000002</v>
      </c>
      <c r="Z44" s="12">
        <f t="shared" si="15"/>
        <v>572.66129032258073</v>
      </c>
      <c r="AA44" s="12">
        <f t="shared" si="6"/>
        <v>538</v>
      </c>
      <c r="AB44" s="1">
        <f t="shared" si="16"/>
        <v>0</v>
      </c>
      <c r="AC44" s="16">
        <f t="shared" si="34"/>
        <v>1110.6612903225807</v>
      </c>
      <c r="AD44" s="16">
        <f t="shared" si="8"/>
        <v>12433.241935483873</v>
      </c>
    </row>
    <row r="45" spans="1:30" x14ac:dyDescent="0.2">
      <c r="A45" s="10" t="s">
        <v>763</v>
      </c>
      <c r="B45" s="11">
        <f t="shared" si="17"/>
        <v>34</v>
      </c>
      <c r="C45" s="11" t="s">
        <v>439</v>
      </c>
      <c r="D45" s="11" t="s">
        <v>51</v>
      </c>
      <c r="E45" s="11" t="s">
        <v>658</v>
      </c>
      <c r="F45" s="22">
        <v>42887</v>
      </c>
      <c r="G45" s="11">
        <v>22</v>
      </c>
      <c r="H45" s="13">
        <f t="shared" si="0"/>
        <v>3548.3870967741932</v>
      </c>
      <c r="I45" s="13">
        <f t="shared" si="9"/>
        <v>0</v>
      </c>
      <c r="J45" s="13">
        <f t="shared" si="1"/>
        <v>177.41935483870967</v>
      </c>
      <c r="L45" s="13">
        <f t="shared" si="10"/>
        <v>567.74193548387098</v>
      </c>
      <c r="N45" s="13">
        <f t="shared" ref="N45:N52" si="37">((1950+1000+611+1383)/G$3)*G45</f>
        <v>3508.6451612903224</v>
      </c>
      <c r="O45" s="13">
        <v>0</v>
      </c>
      <c r="Q45" s="13">
        <f t="shared" si="11"/>
        <v>7802.1935483870966</v>
      </c>
      <c r="R45" s="12">
        <f t="shared" si="2"/>
        <v>425.80645161290317</v>
      </c>
      <c r="S45" s="12">
        <f t="shared" si="3"/>
        <v>137</v>
      </c>
      <c r="T45" s="21">
        <f t="shared" si="12"/>
        <v>175</v>
      </c>
      <c r="U45" s="13">
        <v>0</v>
      </c>
      <c r="V45" s="13">
        <f t="shared" si="33"/>
        <v>737.80645161290317</v>
      </c>
      <c r="W45" s="13">
        <f t="shared" si="5"/>
        <v>7064.3870967741932</v>
      </c>
      <c r="Y45" s="13">
        <f t="shared" si="14"/>
        <v>7064.3870967741932</v>
      </c>
      <c r="Z45" s="12">
        <f t="shared" si="15"/>
        <v>466.61290322580641</v>
      </c>
      <c r="AA45" s="12">
        <f t="shared" si="6"/>
        <v>371</v>
      </c>
      <c r="AB45" s="1">
        <f t="shared" si="16"/>
        <v>0</v>
      </c>
      <c r="AC45" s="16">
        <f t="shared" ref="AC45:AC73" si="38">SUM(Z45:AB45)</f>
        <v>837.61290322580635</v>
      </c>
      <c r="AD45" s="16">
        <f t="shared" si="8"/>
        <v>8639.8064516129034</v>
      </c>
    </row>
    <row r="46" spans="1:30" x14ac:dyDescent="0.2">
      <c r="A46" s="10" t="s">
        <v>764</v>
      </c>
      <c r="B46" s="11">
        <f t="shared" si="17"/>
        <v>35</v>
      </c>
      <c r="C46" s="11" t="s">
        <v>440</v>
      </c>
      <c r="D46" s="11" t="s">
        <v>51</v>
      </c>
      <c r="E46" s="11" t="s">
        <v>658</v>
      </c>
      <c r="F46" s="22">
        <v>42891</v>
      </c>
      <c r="G46" s="11">
        <v>29</v>
      </c>
      <c r="H46" s="13">
        <f t="shared" si="0"/>
        <v>4677.4193548387093</v>
      </c>
      <c r="I46" s="13">
        <f t="shared" si="9"/>
        <v>0</v>
      </c>
      <c r="J46" s="13">
        <f t="shared" si="1"/>
        <v>233.87096774193549</v>
      </c>
      <c r="L46" s="13">
        <f t="shared" si="10"/>
        <v>748.38709677419354</v>
      </c>
      <c r="N46" s="13">
        <f t="shared" si="37"/>
        <v>4625.0322580645161</v>
      </c>
      <c r="O46" s="13">
        <v>0</v>
      </c>
      <c r="Q46" s="13">
        <f t="shared" si="11"/>
        <v>10284.709677419354</v>
      </c>
      <c r="R46" s="12">
        <f t="shared" si="2"/>
        <v>561.29032258064512</v>
      </c>
      <c r="S46" s="12">
        <f t="shared" si="3"/>
        <v>180</v>
      </c>
      <c r="T46" s="21">
        <f t="shared" si="12"/>
        <v>200</v>
      </c>
      <c r="U46" s="13">
        <v>0</v>
      </c>
      <c r="V46" s="13">
        <f t="shared" si="33"/>
        <v>941.29032258064512</v>
      </c>
      <c r="W46" s="13">
        <f t="shared" si="5"/>
        <v>9343.4193548387084</v>
      </c>
      <c r="Y46" s="13">
        <f t="shared" si="14"/>
        <v>9343.4193548387084</v>
      </c>
      <c r="Z46" s="12">
        <f t="shared" si="15"/>
        <v>615.08064516129025</v>
      </c>
      <c r="AA46" s="12">
        <f t="shared" si="6"/>
        <v>489</v>
      </c>
      <c r="AB46" s="1">
        <f t="shared" si="16"/>
        <v>0</v>
      </c>
      <c r="AC46" s="16">
        <f t="shared" si="38"/>
        <v>1104.0806451612902</v>
      </c>
      <c r="AD46" s="16">
        <f t="shared" si="8"/>
        <v>11388.790322580644</v>
      </c>
    </row>
    <row r="47" spans="1:30" x14ac:dyDescent="0.2">
      <c r="A47" s="10" t="s">
        <v>765</v>
      </c>
      <c r="B47" s="11">
        <f t="shared" si="17"/>
        <v>36</v>
      </c>
      <c r="C47" s="11" t="s">
        <v>441</v>
      </c>
      <c r="D47" s="11" t="s">
        <v>51</v>
      </c>
      <c r="E47" s="11" t="s">
        <v>658</v>
      </c>
      <c r="F47" s="22">
        <v>42887</v>
      </c>
      <c r="G47" s="11">
        <v>30</v>
      </c>
      <c r="H47" s="13">
        <f t="shared" si="0"/>
        <v>4838.7096774193542</v>
      </c>
      <c r="I47" s="13">
        <f t="shared" si="9"/>
        <v>0</v>
      </c>
      <c r="J47" s="13">
        <f t="shared" si="1"/>
        <v>241.93548387096772</v>
      </c>
      <c r="L47" s="13">
        <f t="shared" si="10"/>
        <v>774.19354838709671</v>
      </c>
      <c r="N47" s="13">
        <f t="shared" si="37"/>
        <v>4784.5161290322576</v>
      </c>
      <c r="O47" s="13">
        <v>0</v>
      </c>
      <c r="Q47" s="13">
        <f t="shared" si="11"/>
        <v>10639.354838709676</v>
      </c>
      <c r="R47" s="12">
        <f t="shared" si="2"/>
        <v>580.64516129032245</v>
      </c>
      <c r="S47" s="12">
        <f t="shared" si="3"/>
        <v>187</v>
      </c>
      <c r="T47" s="21">
        <f t="shared" si="12"/>
        <v>200</v>
      </c>
      <c r="U47" s="13">
        <v>0</v>
      </c>
      <c r="V47" s="13">
        <f t="shared" si="33"/>
        <v>967.64516129032245</v>
      </c>
      <c r="W47" s="13">
        <f t="shared" si="5"/>
        <v>9671.7096774193542</v>
      </c>
      <c r="Y47" s="13">
        <f t="shared" si="14"/>
        <v>9671.7096774193542</v>
      </c>
      <c r="Z47" s="12">
        <f t="shared" si="15"/>
        <v>636.29032258064512</v>
      </c>
      <c r="AA47" s="12">
        <f t="shared" si="6"/>
        <v>506</v>
      </c>
      <c r="AB47" s="1">
        <f t="shared" si="16"/>
        <v>0</v>
      </c>
      <c r="AC47" s="16">
        <f t="shared" si="38"/>
        <v>1142.2903225806451</v>
      </c>
      <c r="AD47" s="16">
        <f t="shared" si="8"/>
        <v>11781.645161290322</v>
      </c>
    </row>
    <row r="48" spans="1:30" x14ac:dyDescent="0.2">
      <c r="A48" s="10" t="s">
        <v>766</v>
      </c>
      <c r="B48" s="11">
        <f t="shared" si="17"/>
        <v>37</v>
      </c>
      <c r="C48" s="11" t="s">
        <v>442</v>
      </c>
      <c r="D48" s="11" t="s">
        <v>51</v>
      </c>
      <c r="E48" s="11" t="s">
        <v>238</v>
      </c>
      <c r="F48" s="22">
        <v>42887</v>
      </c>
      <c r="G48" s="11">
        <v>23</v>
      </c>
      <c r="H48" s="13">
        <f t="shared" si="0"/>
        <v>3709.6774193548385</v>
      </c>
      <c r="I48" s="13">
        <f t="shared" si="9"/>
        <v>0</v>
      </c>
      <c r="J48" s="13">
        <f t="shared" si="1"/>
        <v>185.48387096774195</v>
      </c>
      <c r="L48" s="13">
        <f t="shared" si="10"/>
        <v>593.54838709677415</v>
      </c>
      <c r="N48" s="13">
        <f t="shared" si="37"/>
        <v>3668.1290322580644</v>
      </c>
      <c r="O48" s="13">
        <v>0</v>
      </c>
      <c r="Q48" s="13">
        <f t="shared" si="11"/>
        <v>8156.8387096774186</v>
      </c>
      <c r="R48" s="12">
        <f t="shared" si="2"/>
        <v>445.16129032258061</v>
      </c>
      <c r="S48" s="12">
        <f t="shared" si="3"/>
        <v>143</v>
      </c>
      <c r="T48" s="21">
        <f t="shared" si="12"/>
        <v>175</v>
      </c>
      <c r="U48" s="13">
        <v>0</v>
      </c>
      <c r="V48" s="13">
        <f t="shared" si="33"/>
        <v>763.16129032258061</v>
      </c>
      <c r="W48" s="13">
        <f t="shared" si="5"/>
        <v>7393.6774193548381</v>
      </c>
      <c r="Y48" s="13">
        <f t="shared" si="14"/>
        <v>7393.6774193548381</v>
      </c>
      <c r="Z48" s="12">
        <f t="shared" si="15"/>
        <v>487.82258064516128</v>
      </c>
      <c r="AA48" s="12">
        <f t="shared" si="6"/>
        <v>388</v>
      </c>
      <c r="AB48" s="1">
        <f t="shared" si="16"/>
        <v>0</v>
      </c>
      <c r="AC48" s="16">
        <f t="shared" si="38"/>
        <v>875.82258064516122</v>
      </c>
      <c r="AD48" s="16">
        <f t="shared" si="8"/>
        <v>9032.6612903225796</v>
      </c>
    </row>
    <row r="49" spans="1:30" x14ac:dyDescent="0.2">
      <c r="A49" s="10" t="s">
        <v>767</v>
      </c>
      <c r="B49" s="11">
        <f t="shared" si="17"/>
        <v>38</v>
      </c>
      <c r="C49" s="11" t="s">
        <v>443</v>
      </c>
      <c r="D49" s="11" t="s">
        <v>51</v>
      </c>
      <c r="E49" s="11" t="s">
        <v>660</v>
      </c>
      <c r="F49" s="22">
        <v>42912</v>
      </c>
      <c r="G49" s="11">
        <v>28</v>
      </c>
      <c r="H49" s="13">
        <f t="shared" si="0"/>
        <v>4516.1290322580644</v>
      </c>
      <c r="I49" s="13">
        <f t="shared" si="9"/>
        <v>0</v>
      </c>
      <c r="J49" s="13">
        <f t="shared" si="1"/>
        <v>225.80645161290323</v>
      </c>
      <c r="L49" s="13">
        <f t="shared" si="10"/>
        <v>722.58064516129025</v>
      </c>
      <c r="N49" s="13">
        <f>((2950+9000)/G$3)*G49</f>
        <v>10793.548387096775</v>
      </c>
      <c r="O49" s="13">
        <v>0</v>
      </c>
      <c r="Q49" s="13">
        <f t="shared" si="11"/>
        <v>16258.064516129032</v>
      </c>
      <c r="R49" s="12">
        <f t="shared" si="2"/>
        <v>541.93548387096769</v>
      </c>
      <c r="S49" s="12">
        <f t="shared" si="3"/>
        <v>285</v>
      </c>
      <c r="T49" s="21">
        <f t="shared" si="12"/>
        <v>200</v>
      </c>
      <c r="U49" s="13">
        <v>0</v>
      </c>
      <c r="V49" s="13">
        <f t="shared" si="33"/>
        <v>1026.9354838709678</v>
      </c>
      <c r="W49" s="13">
        <f t="shared" si="5"/>
        <v>15231.129032258064</v>
      </c>
      <c r="Y49" s="13">
        <f t="shared" si="14"/>
        <v>15231.129032258064</v>
      </c>
      <c r="Z49" s="12">
        <f t="shared" si="15"/>
        <v>593.87096774193549</v>
      </c>
      <c r="AA49" s="12">
        <f t="shared" si="6"/>
        <v>773</v>
      </c>
      <c r="AB49" s="1">
        <f t="shared" si="16"/>
        <v>0</v>
      </c>
      <c r="AC49" s="16">
        <f t="shared" si="38"/>
        <v>1366.8709677419356</v>
      </c>
      <c r="AD49" s="16">
        <f t="shared" si="8"/>
        <v>17624.93548387097</v>
      </c>
    </row>
    <row r="50" spans="1:30" x14ac:dyDescent="0.2">
      <c r="A50" s="10" t="s">
        <v>768</v>
      </c>
      <c r="B50" s="11">
        <f t="shared" si="17"/>
        <v>39</v>
      </c>
      <c r="C50" s="11" t="s">
        <v>444</v>
      </c>
      <c r="D50" s="11" t="s">
        <v>51</v>
      </c>
      <c r="E50" s="11" t="s">
        <v>658</v>
      </c>
      <c r="F50" s="22">
        <v>42888</v>
      </c>
      <c r="G50" s="11">
        <v>32</v>
      </c>
      <c r="H50" s="13">
        <f t="shared" si="0"/>
        <v>5161.2903225806449</v>
      </c>
      <c r="I50" s="13">
        <f t="shared" si="9"/>
        <v>0</v>
      </c>
      <c r="J50" s="13">
        <f t="shared" si="1"/>
        <v>258.06451612903226</v>
      </c>
      <c r="L50" s="13">
        <f t="shared" si="10"/>
        <v>825.80645161290317</v>
      </c>
      <c r="N50" s="13">
        <f t="shared" si="37"/>
        <v>5103.4838709677415</v>
      </c>
      <c r="O50" s="13">
        <v>0</v>
      </c>
      <c r="Q50" s="13">
        <f t="shared" si="11"/>
        <v>11348.645161290322</v>
      </c>
      <c r="R50" s="12">
        <f t="shared" si="2"/>
        <v>619.35483870967732</v>
      </c>
      <c r="S50" s="12">
        <f t="shared" si="3"/>
        <v>199</v>
      </c>
      <c r="T50" s="21">
        <f t="shared" si="12"/>
        <v>200</v>
      </c>
      <c r="U50" s="13">
        <v>0</v>
      </c>
      <c r="V50" s="13">
        <f t="shared" si="33"/>
        <v>1018.3548387096773</v>
      </c>
      <c r="W50" s="13">
        <f t="shared" si="5"/>
        <v>10330.290322580644</v>
      </c>
      <c r="Y50" s="13">
        <f t="shared" si="14"/>
        <v>10330.290322580644</v>
      </c>
      <c r="Z50" s="12">
        <f t="shared" si="15"/>
        <v>678.70967741935488</v>
      </c>
      <c r="AA50" s="12">
        <f t="shared" si="6"/>
        <v>540</v>
      </c>
      <c r="AB50" s="1">
        <f t="shared" si="16"/>
        <v>0</v>
      </c>
      <c r="AC50" s="16">
        <f t="shared" si="38"/>
        <v>1218.7096774193549</v>
      </c>
      <c r="AD50" s="16">
        <f t="shared" si="8"/>
        <v>12567.354838709676</v>
      </c>
    </row>
    <row r="51" spans="1:30" x14ac:dyDescent="0.2">
      <c r="A51" s="10" t="s">
        <v>769</v>
      </c>
      <c r="B51" s="11">
        <f t="shared" si="17"/>
        <v>40</v>
      </c>
      <c r="C51" s="11" t="s">
        <v>445</v>
      </c>
      <c r="D51" s="11" t="s">
        <v>51</v>
      </c>
      <c r="E51" s="11" t="s">
        <v>237</v>
      </c>
      <c r="F51" s="22">
        <v>42888</v>
      </c>
      <c r="G51" s="11">
        <v>31</v>
      </c>
      <c r="H51" s="13">
        <f t="shared" si="0"/>
        <v>5000</v>
      </c>
      <c r="I51" s="13">
        <f t="shared" si="9"/>
        <v>0</v>
      </c>
      <c r="J51" s="13">
        <f t="shared" si="1"/>
        <v>250</v>
      </c>
      <c r="L51" s="13">
        <f t="shared" si="10"/>
        <v>800</v>
      </c>
      <c r="N51" s="13">
        <f t="shared" si="37"/>
        <v>4944</v>
      </c>
      <c r="O51" s="13">
        <v>0</v>
      </c>
      <c r="Q51" s="13">
        <f t="shared" si="11"/>
        <v>10994</v>
      </c>
      <c r="R51" s="12">
        <f t="shared" si="2"/>
        <v>600</v>
      </c>
      <c r="S51" s="12">
        <f t="shared" si="3"/>
        <v>193</v>
      </c>
      <c r="T51" s="21">
        <f t="shared" si="12"/>
        <v>200</v>
      </c>
      <c r="U51" s="13">
        <v>0</v>
      </c>
      <c r="V51" s="13">
        <f t="shared" si="33"/>
        <v>993</v>
      </c>
      <c r="W51" s="13">
        <f t="shared" si="5"/>
        <v>10001</v>
      </c>
      <c r="Y51" s="13">
        <f t="shared" si="14"/>
        <v>10001</v>
      </c>
      <c r="Z51" s="12">
        <f t="shared" si="15"/>
        <v>657.5</v>
      </c>
      <c r="AA51" s="12">
        <f t="shared" si="6"/>
        <v>523</v>
      </c>
      <c r="AB51" s="1">
        <f t="shared" si="16"/>
        <v>0</v>
      </c>
      <c r="AC51" s="16">
        <f t="shared" si="38"/>
        <v>1180.5</v>
      </c>
      <c r="AD51" s="16">
        <f t="shared" si="8"/>
        <v>12174.5</v>
      </c>
    </row>
    <row r="52" spans="1:30" hidden="1" x14ac:dyDescent="0.2">
      <c r="A52" s="10" t="s">
        <v>770</v>
      </c>
      <c r="C52" s="11" t="s">
        <v>446</v>
      </c>
      <c r="D52" s="11" t="s">
        <v>51</v>
      </c>
      <c r="E52" s="11" t="s">
        <v>658</v>
      </c>
      <c r="F52" s="22">
        <v>42893</v>
      </c>
      <c r="H52" s="13">
        <f t="shared" si="0"/>
        <v>0</v>
      </c>
      <c r="I52" s="13">
        <f t="shared" si="9"/>
        <v>0</v>
      </c>
      <c r="J52" s="13">
        <f t="shared" si="1"/>
        <v>0</v>
      </c>
      <c r="L52" s="13">
        <f t="shared" si="10"/>
        <v>0</v>
      </c>
      <c r="N52" s="13">
        <f t="shared" si="37"/>
        <v>0</v>
      </c>
      <c r="O52" s="13">
        <v>0</v>
      </c>
      <c r="Q52" s="13">
        <f t="shared" si="11"/>
        <v>0</v>
      </c>
      <c r="R52" s="12">
        <f t="shared" si="2"/>
        <v>0</v>
      </c>
      <c r="S52" s="12">
        <f t="shared" si="3"/>
        <v>0</v>
      </c>
      <c r="T52" s="21">
        <f t="shared" si="12"/>
        <v>0</v>
      </c>
      <c r="U52" s="13">
        <v>0</v>
      </c>
      <c r="V52" s="13">
        <f t="shared" si="33"/>
        <v>0</v>
      </c>
      <c r="W52" s="13">
        <f t="shared" si="5"/>
        <v>0</v>
      </c>
      <c r="Y52" s="13">
        <f t="shared" si="14"/>
        <v>0</v>
      </c>
      <c r="Z52" s="12">
        <f t="shared" si="15"/>
        <v>0</v>
      </c>
      <c r="AA52" s="12">
        <f t="shared" si="6"/>
        <v>0</v>
      </c>
      <c r="AB52" s="1">
        <f t="shared" si="16"/>
        <v>0</v>
      </c>
      <c r="AC52" s="16">
        <f t="shared" si="38"/>
        <v>0</v>
      </c>
      <c r="AD52" s="16">
        <f t="shared" si="8"/>
        <v>0</v>
      </c>
    </row>
    <row r="53" spans="1:30" x14ac:dyDescent="0.2">
      <c r="A53" s="10" t="s">
        <v>771</v>
      </c>
      <c r="B53" s="11">
        <v>42</v>
      </c>
      <c r="C53" s="11" t="s">
        <v>990</v>
      </c>
      <c r="D53" s="11" t="s">
        <v>51</v>
      </c>
      <c r="E53" s="11" t="s">
        <v>236</v>
      </c>
      <c r="F53" s="22">
        <v>42887</v>
      </c>
      <c r="G53" s="11">
        <v>18</v>
      </c>
      <c r="H53" s="13">
        <f t="shared" si="0"/>
        <v>2903.2258064516127</v>
      </c>
      <c r="I53" s="13">
        <f t="shared" si="9"/>
        <v>0</v>
      </c>
      <c r="J53" s="13">
        <f t="shared" si="1"/>
        <v>145.16129032258064</v>
      </c>
      <c r="L53" s="13">
        <f t="shared" si="10"/>
        <v>464.51612903225805</v>
      </c>
      <c r="N53" s="13">
        <f t="shared" ref="N53:N55" si="39">((2950)/G$3)*G53</f>
        <v>1712.9032258064515</v>
      </c>
      <c r="O53" s="13">
        <v>0</v>
      </c>
      <c r="Q53" s="13">
        <f t="shared" si="11"/>
        <v>5225.8064516129025</v>
      </c>
      <c r="R53" s="12">
        <f t="shared" si="2"/>
        <v>348.38709677419354</v>
      </c>
      <c r="S53" s="12">
        <f t="shared" si="3"/>
        <v>92</v>
      </c>
      <c r="T53" s="21">
        <f t="shared" si="12"/>
        <v>0</v>
      </c>
      <c r="U53" s="13">
        <v>0</v>
      </c>
      <c r="V53" s="13">
        <f t="shared" si="33"/>
        <v>440.38709677419354</v>
      </c>
      <c r="W53" s="13">
        <f t="shared" si="5"/>
        <v>4785.4193548387093</v>
      </c>
      <c r="Y53" s="13">
        <f t="shared" si="14"/>
        <v>4785.4193548387093</v>
      </c>
      <c r="Z53" s="12">
        <f t="shared" si="15"/>
        <v>381.77419354838707</v>
      </c>
      <c r="AA53" s="12">
        <f t="shared" si="6"/>
        <v>249</v>
      </c>
      <c r="AB53" s="1">
        <f t="shared" si="16"/>
        <v>0</v>
      </c>
      <c r="AC53" s="16">
        <f t="shared" si="38"/>
        <v>630.77419354838707</v>
      </c>
      <c r="AD53" s="16">
        <f t="shared" si="8"/>
        <v>5856.5806451612898</v>
      </c>
    </row>
    <row r="54" spans="1:30" hidden="1" x14ac:dyDescent="0.2">
      <c r="A54" s="10" t="s">
        <v>774</v>
      </c>
      <c r="C54" s="11" t="s">
        <v>447</v>
      </c>
      <c r="D54" s="11" t="s">
        <v>51</v>
      </c>
      <c r="E54" s="11" t="s">
        <v>236</v>
      </c>
      <c r="F54" s="22">
        <v>42887</v>
      </c>
      <c r="H54" s="13">
        <f t="shared" si="0"/>
        <v>0</v>
      </c>
      <c r="I54" s="13">
        <f t="shared" si="9"/>
        <v>0</v>
      </c>
      <c r="J54" s="13">
        <f t="shared" si="1"/>
        <v>0</v>
      </c>
      <c r="L54" s="13">
        <f t="shared" si="10"/>
        <v>0</v>
      </c>
      <c r="N54" s="13">
        <f t="shared" si="39"/>
        <v>0</v>
      </c>
      <c r="O54" s="13">
        <v>0</v>
      </c>
      <c r="Q54" s="13">
        <f t="shared" si="11"/>
        <v>0</v>
      </c>
      <c r="R54" s="12">
        <f t="shared" si="2"/>
        <v>0</v>
      </c>
      <c r="S54" s="12">
        <f t="shared" si="3"/>
        <v>0</v>
      </c>
      <c r="T54" s="21">
        <f t="shared" si="12"/>
        <v>0</v>
      </c>
      <c r="U54" s="13">
        <v>0</v>
      </c>
      <c r="V54" s="13">
        <f t="shared" si="33"/>
        <v>0</v>
      </c>
      <c r="W54" s="13">
        <f t="shared" si="5"/>
        <v>0</v>
      </c>
      <c r="Y54" s="13">
        <f t="shared" si="14"/>
        <v>0</v>
      </c>
      <c r="Z54" s="12">
        <f t="shared" si="15"/>
        <v>0</v>
      </c>
      <c r="AA54" s="12">
        <f t="shared" si="6"/>
        <v>0</v>
      </c>
      <c r="AB54" s="1">
        <f t="shared" si="16"/>
        <v>0</v>
      </c>
      <c r="AC54" s="16">
        <f t="shared" si="38"/>
        <v>0</v>
      </c>
      <c r="AD54" s="16">
        <f t="shared" si="8"/>
        <v>0</v>
      </c>
    </row>
    <row r="55" spans="1:30" hidden="1" x14ac:dyDescent="0.2">
      <c r="A55" s="10" t="s">
        <v>775</v>
      </c>
      <c r="C55" s="11" t="s">
        <v>448</v>
      </c>
      <c r="D55" s="11" t="s">
        <v>51</v>
      </c>
      <c r="E55" s="11" t="s">
        <v>236</v>
      </c>
      <c r="F55" s="22">
        <v>42887</v>
      </c>
      <c r="H55" s="13">
        <f t="shared" si="0"/>
        <v>0</v>
      </c>
      <c r="I55" s="13">
        <f t="shared" si="9"/>
        <v>0</v>
      </c>
      <c r="J55" s="13">
        <f t="shared" si="1"/>
        <v>0</v>
      </c>
      <c r="L55" s="13">
        <f t="shared" si="10"/>
        <v>0</v>
      </c>
      <c r="N55" s="13">
        <f t="shared" si="39"/>
        <v>0</v>
      </c>
      <c r="O55" s="13">
        <v>0</v>
      </c>
      <c r="Q55" s="13">
        <f t="shared" si="11"/>
        <v>0</v>
      </c>
      <c r="R55" s="12">
        <f t="shared" si="2"/>
        <v>0</v>
      </c>
      <c r="S55" s="12">
        <f t="shared" si="3"/>
        <v>0</v>
      </c>
      <c r="T55" s="21">
        <f t="shared" si="12"/>
        <v>0</v>
      </c>
      <c r="U55" s="13">
        <v>0</v>
      </c>
      <c r="V55" s="13">
        <f t="shared" si="33"/>
        <v>0</v>
      </c>
      <c r="W55" s="13">
        <f t="shared" si="5"/>
        <v>0</v>
      </c>
      <c r="Y55" s="13">
        <f t="shared" si="14"/>
        <v>0</v>
      </c>
      <c r="Z55" s="12">
        <f t="shared" si="15"/>
        <v>0</v>
      </c>
      <c r="AA55" s="12">
        <f t="shared" si="6"/>
        <v>0</v>
      </c>
      <c r="AB55" s="1">
        <f t="shared" si="16"/>
        <v>0</v>
      </c>
      <c r="AC55" s="16">
        <f t="shared" si="38"/>
        <v>0</v>
      </c>
      <c r="AD55" s="16">
        <f t="shared" si="8"/>
        <v>0</v>
      </c>
    </row>
    <row r="56" spans="1:30" x14ac:dyDescent="0.2">
      <c r="A56" s="10" t="s">
        <v>776</v>
      </c>
      <c r="B56" s="11">
        <v>43</v>
      </c>
      <c r="C56" s="11" t="s">
        <v>434</v>
      </c>
      <c r="D56" s="11" t="s">
        <v>51</v>
      </c>
      <c r="E56" s="11" t="s">
        <v>658</v>
      </c>
      <c r="F56" s="22">
        <v>42887</v>
      </c>
      <c r="G56" s="11">
        <v>30</v>
      </c>
      <c r="H56" s="13">
        <f t="shared" si="0"/>
        <v>4838.7096774193542</v>
      </c>
      <c r="I56" s="13">
        <f t="shared" si="9"/>
        <v>0</v>
      </c>
      <c r="J56" s="13">
        <f t="shared" si="1"/>
        <v>241.93548387096772</v>
      </c>
      <c r="L56" s="13">
        <f t="shared" si="10"/>
        <v>774.19354838709671</v>
      </c>
      <c r="N56" s="13">
        <f t="shared" ref="N56:N71" si="40">((1950+1000+611+1383)/G$3)*G56</f>
        <v>4784.5161290322576</v>
      </c>
      <c r="O56" s="13">
        <v>0</v>
      </c>
      <c r="Q56" s="13">
        <f t="shared" si="11"/>
        <v>10639.354838709676</v>
      </c>
      <c r="R56" s="12">
        <f t="shared" si="2"/>
        <v>580.64516129032245</v>
      </c>
      <c r="S56" s="12">
        <f t="shared" si="3"/>
        <v>187</v>
      </c>
      <c r="T56" s="21">
        <f t="shared" si="12"/>
        <v>200</v>
      </c>
      <c r="U56" s="13">
        <v>0</v>
      </c>
      <c r="V56" s="13">
        <f t="shared" si="33"/>
        <v>967.64516129032245</v>
      </c>
      <c r="W56" s="13">
        <f t="shared" si="5"/>
        <v>9671.7096774193542</v>
      </c>
      <c r="X56" s="13">
        <v>400</v>
      </c>
      <c r="Y56" s="13">
        <f t="shared" si="14"/>
        <v>9271.7096774193542</v>
      </c>
      <c r="Z56" s="12">
        <f t="shared" si="15"/>
        <v>636.29032258064512</v>
      </c>
      <c r="AA56" s="12">
        <f t="shared" si="6"/>
        <v>506</v>
      </c>
      <c r="AB56" s="1">
        <f t="shared" si="16"/>
        <v>0</v>
      </c>
      <c r="AC56" s="16">
        <f t="shared" si="38"/>
        <v>1142.2903225806451</v>
      </c>
      <c r="AD56" s="16">
        <f t="shared" si="8"/>
        <v>11781.645161290322</v>
      </c>
    </row>
    <row r="57" spans="1:30" x14ac:dyDescent="0.2">
      <c r="A57" s="10" t="s">
        <v>777</v>
      </c>
      <c r="B57" s="11">
        <f t="shared" si="17"/>
        <v>44</v>
      </c>
      <c r="C57" s="11" t="s">
        <v>435</v>
      </c>
      <c r="D57" s="11" t="s">
        <v>51</v>
      </c>
      <c r="E57" s="11" t="s">
        <v>658</v>
      </c>
      <c r="F57" s="22">
        <v>42887</v>
      </c>
      <c r="G57" s="11">
        <v>35</v>
      </c>
      <c r="H57" s="13">
        <f t="shared" si="0"/>
        <v>5645.1612903225805</v>
      </c>
      <c r="I57" s="13">
        <f t="shared" si="9"/>
        <v>0</v>
      </c>
      <c r="J57" s="13">
        <f t="shared" si="1"/>
        <v>282.25806451612902</v>
      </c>
      <c r="L57" s="13">
        <f t="shared" si="10"/>
        <v>903.22580645161281</v>
      </c>
      <c r="N57" s="13">
        <f t="shared" si="40"/>
        <v>5581.9354838709669</v>
      </c>
      <c r="O57" s="13">
        <v>0</v>
      </c>
      <c r="Q57" s="13">
        <f t="shared" si="11"/>
        <v>12412.580645161288</v>
      </c>
      <c r="R57" s="12">
        <f t="shared" si="2"/>
        <v>677.41935483870964</v>
      </c>
      <c r="S57" s="12">
        <f t="shared" si="3"/>
        <v>218</v>
      </c>
      <c r="T57" s="21">
        <f t="shared" si="12"/>
        <v>200</v>
      </c>
      <c r="U57" s="13">
        <v>0</v>
      </c>
      <c r="V57" s="13">
        <f t="shared" si="33"/>
        <v>1095.4193548387098</v>
      </c>
      <c r="W57" s="13">
        <f t="shared" si="5"/>
        <v>11317.161290322578</v>
      </c>
      <c r="Y57" s="13">
        <f t="shared" si="14"/>
        <v>11317.161290322578</v>
      </c>
      <c r="Z57" s="12">
        <f t="shared" si="15"/>
        <v>742.33870967741939</v>
      </c>
      <c r="AA57" s="12">
        <f t="shared" si="6"/>
        <v>590</v>
      </c>
      <c r="AB57" s="1">
        <f t="shared" si="16"/>
        <v>0</v>
      </c>
      <c r="AC57" s="16">
        <f t="shared" ref="AC57" si="41">SUM(Z57:AB57)</f>
        <v>1332.3387096774195</v>
      </c>
      <c r="AD57" s="16">
        <f t="shared" si="8"/>
        <v>13744.919354838708</v>
      </c>
    </row>
    <row r="58" spans="1:30" x14ac:dyDescent="0.2">
      <c r="A58" s="10" t="s">
        <v>778</v>
      </c>
      <c r="B58" s="11">
        <f t="shared" si="17"/>
        <v>45</v>
      </c>
      <c r="C58" s="11" t="s">
        <v>436</v>
      </c>
      <c r="D58" s="11" t="s">
        <v>51</v>
      </c>
      <c r="E58" s="11" t="s">
        <v>658</v>
      </c>
      <c r="F58" s="22">
        <v>42887</v>
      </c>
      <c r="G58" s="11">
        <v>34</v>
      </c>
      <c r="H58" s="13">
        <f t="shared" si="0"/>
        <v>5483.8709677419356</v>
      </c>
      <c r="I58" s="13">
        <f t="shared" si="9"/>
        <v>0</v>
      </c>
      <c r="J58" s="13">
        <f t="shared" si="1"/>
        <v>274.19354838709677</v>
      </c>
      <c r="L58" s="13">
        <f t="shared" si="10"/>
        <v>877.41935483870964</v>
      </c>
      <c r="N58" s="13">
        <f t="shared" si="40"/>
        <v>5422.4516129032254</v>
      </c>
      <c r="O58" s="13">
        <v>0</v>
      </c>
      <c r="Q58" s="13">
        <f t="shared" si="11"/>
        <v>12057.935483870966</v>
      </c>
      <c r="R58" s="12">
        <f t="shared" si="2"/>
        <v>658.0645161290322</v>
      </c>
      <c r="S58" s="12">
        <f t="shared" si="3"/>
        <v>212</v>
      </c>
      <c r="T58" s="21">
        <f t="shared" si="12"/>
        <v>200</v>
      </c>
      <c r="U58" s="13">
        <v>0</v>
      </c>
      <c r="V58" s="13">
        <f t="shared" si="33"/>
        <v>1070.0645161290322</v>
      </c>
      <c r="W58" s="13">
        <f t="shared" si="5"/>
        <v>10987.870967741934</v>
      </c>
      <c r="Y58" s="13">
        <f t="shared" si="14"/>
        <v>10987.870967741934</v>
      </c>
      <c r="Z58" s="12">
        <f t="shared" si="15"/>
        <v>721.12903225806451</v>
      </c>
      <c r="AA58" s="12">
        <f t="shared" si="6"/>
        <v>573</v>
      </c>
      <c r="AB58" s="1">
        <f t="shared" si="16"/>
        <v>0</v>
      </c>
      <c r="AC58" s="16">
        <f t="shared" si="38"/>
        <v>1294.1290322580644</v>
      </c>
      <c r="AD58" s="16">
        <f t="shared" si="8"/>
        <v>13352.06451612903</v>
      </c>
    </row>
    <row r="59" spans="1:30" x14ac:dyDescent="0.2">
      <c r="A59" s="10" t="s">
        <v>779</v>
      </c>
      <c r="B59" s="11">
        <f t="shared" si="17"/>
        <v>46</v>
      </c>
      <c r="C59" s="11" t="s">
        <v>449</v>
      </c>
      <c r="D59" s="11" t="s">
        <v>51</v>
      </c>
      <c r="E59" s="11" t="s">
        <v>237</v>
      </c>
      <c r="F59" s="22">
        <v>42888</v>
      </c>
      <c r="G59" s="11">
        <v>34</v>
      </c>
      <c r="H59" s="13">
        <f t="shared" si="0"/>
        <v>5483.8709677419356</v>
      </c>
      <c r="I59" s="13">
        <f t="shared" si="9"/>
        <v>0</v>
      </c>
      <c r="J59" s="13">
        <f t="shared" si="1"/>
        <v>274.19354838709677</v>
      </c>
      <c r="L59" s="13">
        <f t="shared" si="10"/>
        <v>877.41935483870964</v>
      </c>
      <c r="N59" s="13">
        <f t="shared" si="40"/>
        <v>5422.4516129032254</v>
      </c>
      <c r="O59" s="13">
        <v>0</v>
      </c>
      <c r="Q59" s="13">
        <f t="shared" si="11"/>
        <v>12057.935483870966</v>
      </c>
      <c r="R59" s="12">
        <f t="shared" si="2"/>
        <v>658.0645161290322</v>
      </c>
      <c r="S59" s="12">
        <f t="shared" si="3"/>
        <v>212</v>
      </c>
      <c r="T59" s="21">
        <f t="shared" si="12"/>
        <v>200</v>
      </c>
      <c r="U59" s="13">
        <v>0</v>
      </c>
      <c r="V59" s="13">
        <f t="shared" si="33"/>
        <v>1070.0645161290322</v>
      </c>
      <c r="W59" s="13">
        <f t="shared" si="5"/>
        <v>10987.870967741934</v>
      </c>
      <c r="Y59" s="13">
        <f t="shared" si="14"/>
        <v>10987.870967741934</v>
      </c>
      <c r="Z59" s="12">
        <f t="shared" si="15"/>
        <v>721.12903225806451</v>
      </c>
      <c r="AA59" s="12">
        <f t="shared" si="6"/>
        <v>573</v>
      </c>
      <c r="AB59" s="1">
        <f t="shared" si="16"/>
        <v>0</v>
      </c>
      <c r="AC59" s="16">
        <f t="shared" si="38"/>
        <v>1294.1290322580644</v>
      </c>
      <c r="AD59" s="16">
        <f t="shared" si="8"/>
        <v>13352.06451612903</v>
      </c>
    </row>
    <row r="60" spans="1:30" x14ac:dyDescent="0.2">
      <c r="A60" s="10" t="s">
        <v>781</v>
      </c>
      <c r="B60" s="11">
        <f t="shared" si="17"/>
        <v>47</v>
      </c>
      <c r="C60" s="11" t="s">
        <v>451</v>
      </c>
      <c r="D60" s="11" t="s">
        <v>51</v>
      </c>
      <c r="E60" s="11" t="s">
        <v>237</v>
      </c>
      <c r="F60" s="22">
        <v>42893</v>
      </c>
      <c r="G60" s="11">
        <v>32</v>
      </c>
      <c r="H60" s="13">
        <f t="shared" si="0"/>
        <v>5161.2903225806449</v>
      </c>
      <c r="I60" s="13">
        <f t="shared" si="9"/>
        <v>0</v>
      </c>
      <c r="J60" s="13">
        <f t="shared" si="1"/>
        <v>258.06451612903226</v>
      </c>
      <c r="L60" s="13">
        <f t="shared" si="10"/>
        <v>825.80645161290317</v>
      </c>
      <c r="N60" s="13">
        <f t="shared" si="40"/>
        <v>5103.4838709677415</v>
      </c>
      <c r="O60" s="13">
        <v>0</v>
      </c>
      <c r="Q60" s="13">
        <f t="shared" si="11"/>
        <v>11348.645161290322</v>
      </c>
      <c r="R60" s="12">
        <f t="shared" si="2"/>
        <v>619.35483870967732</v>
      </c>
      <c r="S60" s="12">
        <f t="shared" si="3"/>
        <v>199</v>
      </c>
      <c r="T60" s="21">
        <f t="shared" si="12"/>
        <v>200</v>
      </c>
      <c r="U60" s="13">
        <v>0</v>
      </c>
      <c r="V60" s="13">
        <f t="shared" si="33"/>
        <v>1018.3548387096773</v>
      </c>
      <c r="W60" s="13">
        <f t="shared" si="5"/>
        <v>10330.290322580644</v>
      </c>
      <c r="Y60" s="13">
        <f t="shared" si="14"/>
        <v>10330.290322580644</v>
      </c>
      <c r="Z60" s="12">
        <f t="shared" si="15"/>
        <v>678.70967741935488</v>
      </c>
      <c r="AA60" s="12">
        <f t="shared" si="6"/>
        <v>540</v>
      </c>
      <c r="AB60" s="1">
        <f t="shared" si="16"/>
        <v>0</v>
      </c>
      <c r="AC60" s="16">
        <f t="shared" si="38"/>
        <v>1218.7096774193549</v>
      </c>
      <c r="AD60" s="16">
        <f t="shared" si="8"/>
        <v>12567.354838709676</v>
      </c>
    </row>
    <row r="61" spans="1:30" hidden="1" x14ac:dyDescent="0.2">
      <c r="A61" s="10" t="s">
        <v>782</v>
      </c>
      <c r="C61" s="11" t="s">
        <v>452</v>
      </c>
      <c r="D61" s="11" t="s">
        <v>51</v>
      </c>
      <c r="E61" s="11" t="s">
        <v>658</v>
      </c>
      <c r="F61" s="22">
        <v>42893</v>
      </c>
      <c r="H61" s="13">
        <f t="shared" si="0"/>
        <v>0</v>
      </c>
      <c r="I61" s="13">
        <f t="shared" si="9"/>
        <v>0</v>
      </c>
      <c r="J61" s="13">
        <f t="shared" si="1"/>
        <v>0</v>
      </c>
      <c r="L61" s="13">
        <f t="shared" si="10"/>
        <v>0</v>
      </c>
      <c r="N61" s="13">
        <f t="shared" si="40"/>
        <v>0</v>
      </c>
      <c r="O61" s="13">
        <v>0</v>
      </c>
      <c r="Q61" s="13">
        <f t="shared" si="11"/>
        <v>0</v>
      </c>
      <c r="R61" s="12">
        <f t="shared" si="2"/>
        <v>0</v>
      </c>
      <c r="S61" s="12">
        <f t="shared" si="3"/>
        <v>0</v>
      </c>
      <c r="T61" s="21">
        <f t="shared" si="12"/>
        <v>0</v>
      </c>
      <c r="U61" s="13">
        <v>0</v>
      </c>
      <c r="V61" s="13">
        <f t="shared" si="33"/>
        <v>0</v>
      </c>
      <c r="W61" s="13">
        <f t="shared" si="5"/>
        <v>0</v>
      </c>
      <c r="Y61" s="13">
        <f t="shared" si="14"/>
        <v>0</v>
      </c>
      <c r="Z61" s="12">
        <f t="shared" si="15"/>
        <v>0</v>
      </c>
      <c r="AA61" s="12">
        <f t="shared" si="6"/>
        <v>0</v>
      </c>
      <c r="AB61" s="1">
        <f t="shared" si="16"/>
        <v>0</v>
      </c>
      <c r="AC61" s="16">
        <f t="shared" si="38"/>
        <v>0</v>
      </c>
      <c r="AD61" s="16">
        <f t="shared" si="8"/>
        <v>0</v>
      </c>
    </row>
    <row r="62" spans="1:30" x14ac:dyDescent="0.2">
      <c r="A62" s="10" t="s">
        <v>784</v>
      </c>
      <c r="B62" s="11">
        <v>48</v>
      </c>
      <c r="C62" s="11" t="s">
        <v>454</v>
      </c>
      <c r="D62" s="11" t="s">
        <v>51</v>
      </c>
      <c r="E62" s="11" t="s">
        <v>658</v>
      </c>
      <c r="F62" s="22">
        <v>42895</v>
      </c>
      <c r="G62" s="11">
        <v>11</v>
      </c>
      <c r="H62" s="13">
        <f t="shared" si="0"/>
        <v>1774.1935483870966</v>
      </c>
      <c r="I62" s="13">
        <f t="shared" si="9"/>
        <v>0</v>
      </c>
      <c r="J62" s="13">
        <f t="shared" si="1"/>
        <v>88.709677419354833</v>
      </c>
      <c r="L62" s="13">
        <f t="shared" si="10"/>
        <v>283.87096774193549</v>
      </c>
      <c r="N62" s="13">
        <f t="shared" si="40"/>
        <v>1754.3225806451612</v>
      </c>
      <c r="O62" s="13">
        <v>0</v>
      </c>
      <c r="Q62" s="13">
        <f t="shared" si="11"/>
        <v>3901.0967741935483</v>
      </c>
      <c r="R62" s="12">
        <f t="shared" si="2"/>
        <v>212.90322580645159</v>
      </c>
      <c r="S62" s="12">
        <f t="shared" si="3"/>
        <v>69</v>
      </c>
      <c r="T62" s="21">
        <f t="shared" si="12"/>
        <v>0</v>
      </c>
      <c r="U62" s="13">
        <v>0</v>
      </c>
      <c r="V62" s="13">
        <f t="shared" si="33"/>
        <v>281.90322580645159</v>
      </c>
      <c r="W62" s="13">
        <f t="shared" si="5"/>
        <v>3619.1935483870966</v>
      </c>
      <c r="Y62" s="13">
        <f t="shared" si="14"/>
        <v>3619.1935483870966</v>
      </c>
      <c r="Z62" s="12">
        <f t="shared" si="15"/>
        <v>233.3064516129032</v>
      </c>
      <c r="AA62" s="12">
        <f t="shared" si="6"/>
        <v>186</v>
      </c>
      <c r="AB62" s="1">
        <f t="shared" si="16"/>
        <v>0</v>
      </c>
      <c r="AC62" s="16">
        <f t="shared" si="38"/>
        <v>419.30645161290317</v>
      </c>
      <c r="AD62" s="16">
        <f t="shared" si="8"/>
        <v>4320.4032258064517</v>
      </c>
    </row>
    <row r="63" spans="1:30" hidden="1" x14ac:dyDescent="0.2">
      <c r="A63" s="10" t="s">
        <v>785</v>
      </c>
      <c r="C63" s="11" t="s">
        <v>455</v>
      </c>
      <c r="D63" s="11" t="s">
        <v>51</v>
      </c>
      <c r="E63" s="11" t="s">
        <v>658</v>
      </c>
      <c r="F63" s="22">
        <v>42896</v>
      </c>
      <c r="H63" s="13">
        <f t="shared" si="0"/>
        <v>0</v>
      </c>
      <c r="I63" s="13">
        <f t="shared" si="9"/>
        <v>0</v>
      </c>
      <c r="J63" s="13">
        <f t="shared" si="1"/>
        <v>0</v>
      </c>
      <c r="L63" s="13">
        <f t="shared" si="10"/>
        <v>0</v>
      </c>
      <c r="N63" s="13">
        <f t="shared" si="40"/>
        <v>0</v>
      </c>
      <c r="O63" s="13">
        <v>0</v>
      </c>
      <c r="Q63" s="13">
        <f t="shared" si="11"/>
        <v>0</v>
      </c>
      <c r="R63" s="12">
        <f t="shared" si="2"/>
        <v>0</v>
      </c>
      <c r="S63" s="12">
        <f t="shared" si="3"/>
        <v>0</v>
      </c>
      <c r="T63" s="21">
        <f t="shared" si="12"/>
        <v>0</v>
      </c>
      <c r="U63" s="13">
        <v>0</v>
      </c>
      <c r="V63" s="13">
        <f t="shared" si="33"/>
        <v>0</v>
      </c>
      <c r="W63" s="13">
        <f t="shared" si="5"/>
        <v>0</v>
      </c>
      <c r="Y63" s="13">
        <f t="shared" si="14"/>
        <v>0</v>
      </c>
      <c r="Z63" s="12">
        <f t="shared" si="15"/>
        <v>0</v>
      </c>
      <c r="AA63" s="12">
        <f t="shared" si="6"/>
        <v>0</v>
      </c>
      <c r="AB63" s="1">
        <f t="shared" si="16"/>
        <v>0</v>
      </c>
      <c r="AC63" s="16">
        <f t="shared" si="38"/>
        <v>0</v>
      </c>
      <c r="AD63" s="16">
        <f t="shared" si="8"/>
        <v>0</v>
      </c>
    </row>
    <row r="64" spans="1:30" x14ac:dyDescent="0.2">
      <c r="A64" s="10" t="s">
        <v>786</v>
      </c>
      <c r="B64" s="11">
        <v>49</v>
      </c>
      <c r="C64" s="11" t="s">
        <v>456</v>
      </c>
      <c r="D64" s="11" t="s">
        <v>51</v>
      </c>
      <c r="E64" s="11" t="s">
        <v>658</v>
      </c>
      <c r="F64" s="22">
        <v>42896</v>
      </c>
      <c r="G64" s="11">
        <v>2</v>
      </c>
      <c r="H64" s="13">
        <f t="shared" si="0"/>
        <v>322.58064516129031</v>
      </c>
      <c r="I64" s="13">
        <f t="shared" si="9"/>
        <v>0</v>
      </c>
      <c r="J64" s="13">
        <f t="shared" si="1"/>
        <v>16.129032258064516</v>
      </c>
      <c r="L64" s="13">
        <f t="shared" si="10"/>
        <v>51.612903225806448</v>
      </c>
      <c r="N64" s="13">
        <f t="shared" si="40"/>
        <v>318.96774193548384</v>
      </c>
      <c r="O64" s="13">
        <v>0</v>
      </c>
      <c r="Q64" s="13">
        <f t="shared" si="11"/>
        <v>709.29032258064512</v>
      </c>
      <c r="R64" s="12">
        <f t="shared" si="2"/>
        <v>38.709677419354833</v>
      </c>
      <c r="S64" s="12">
        <f t="shared" si="3"/>
        <v>13</v>
      </c>
      <c r="T64" s="21">
        <f t="shared" si="12"/>
        <v>0</v>
      </c>
      <c r="U64" s="13">
        <v>0</v>
      </c>
      <c r="V64" s="13">
        <f t="shared" si="33"/>
        <v>51.709677419354833</v>
      </c>
      <c r="W64" s="13">
        <f t="shared" si="5"/>
        <v>657.58064516129025</v>
      </c>
      <c r="X64" s="13">
        <v>400</v>
      </c>
      <c r="Y64" s="13">
        <f t="shared" si="14"/>
        <v>257.58064516129025</v>
      </c>
      <c r="Z64" s="12">
        <f t="shared" si="15"/>
        <v>42.41935483870968</v>
      </c>
      <c r="AA64" s="12">
        <f t="shared" si="6"/>
        <v>34</v>
      </c>
      <c r="AB64" s="1">
        <f t="shared" si="16"/>
        <v>0</v>
      </c>
      <c r="AC64" s="16">
        <f t="shared" si="38"/>
        <v>76.41935483870968</v>
      </c>
      <c r="AD64" s="16">
        <f t="shared" si="8"/>
        <v>785.70967741935476</v>
      </c>
    </row>
    <row r="65" spans="1:30" x14ac:dyDescent="0.2">
      <c r="A65" s="10" t="s">
        <v>787</v>
      </c>
      <c r="B65" s="11">
        <f t="shared" si="17"/>
        <v>50</v>
      </c>
      <c r="C65" s="11" t="s">
        <v>457</v>
      </c>
      <c r="D65" s="11" t="s">
        <v>51</v>
      </c>
      <c r="E65" s="11" t="s">
        <v>658</v>
      </c>
      <c r="F65" s="22">
        <v>42896</v>
      </c>
      <c r="G65" s="11">
        <v>1</v>
      </c>
      <c r="H65" s="13">
        <f t="shared" si="0"/>
        <v>161.29032258064515</v>
      </c>
      <c r="I65" s="13">
        <f t="shared" si="9"/>
        <v>0</v>
      </c>
      <c r="J65" s="13">
        <f t="shared" si="1"/>
        <v>8.064516129032258</v>
      </c>
      <c r="L65" s="13">
        <f t="shared" si="10"/>
        <v>25.806451612903224</v>
      </c>
      <c r="N65" s="13">
        <f t="shared" si="40"/>
        <v>159.48387096774192</v>
      </c>
      <c r="O65" s="13">
        <v>0</v>
      </c>
      <c r="Q65" s="13">
        <f t="shared" si="11"/>
        <v>354.64516129032256</v>
      </c>
      <c r="R65" s="12">
        <f t="shared" si="2"/>
        <v>19.354838709677416</v>
      </c>
      <c r="S65" s="12">
        <f t="shared" si="3"/>
        <v>7</v>
      </c>
      <c r="T65" s="21">
        <f t="shared" si="12"/>
        <v>0</v>
      </c>
      <c r="U65" s="13">
        <v>0</v>
      </c>
      <c r="V65" s="13">
        <f t="shared" si="33"/>
        <v>26.354838709677416</v>
      </c>
      <c r="W65" s="13">
        <f t="shared" si="5"/>
        <v>328.29032258064512</v>
      </c>
      <c r="X65" s="13">
        <v>400</v>
      </c>
      <c r="Y65" s="13">
        <f t="shared" si="14"/>
        <v>-71.709677419354875</v>
      </c>
      <c r="Z65" s="12">
        <f t="shared" si="15"/>
        <v>21.20967741935484</v>
      </c>
      <c r="AA65" s="12">
        <f t="shared" si="6"/>
        <v>17</v>
      </c>
      <c r="AB65" s="1">
        <f t="shared" si="16"/>
        <v>0</v>
      </c>
      <c r="AC65" s="16">
        <f t="shared" si="38"/>
        <v>38.20967741935484</v>
      </c>
      <c r="AD65" s="16">
        <f t="shared" si="8"/>
        <v>392.85483870967738</v>
      </c>
    </row>
    <row r="66" spans="1:30" x14ac:dyDescent="0.2">
      <c r="A66" s="10" t="s">
        <v>788</v>
      </c>
      <c r="B66" s="11">
        <f t="shared" si="17"/>
        <v>51</v>
      </c>
      <c r="C66" s="11" t="s">
        <v>458</v>
      </c>
      <c r="D66" s="11" t="s">
        <v>51</v>
      </c>
      <c r="E66" s="11" t="s">
        <v>658</v>
      </c>
      <c r="F66" s="22">
        <v>42896</v>
      </c>
      <c r="G66" s="11">
        <v>16</v>
      </c>
      <c r="H66" s="13">
        <f t="shared" si="0"/>
        <v>2580.6451612903224</v>
      </c>
      <c r="I66" s="13">
        <f t="shared" si="9"/>
        <v>0</v>
      </c>
      <c r="J66" s="13">
        <f t="shared" si="1"/>
        <v>129.03225806451613</v>
      </c>
      <c r="L66" s="13">
        <f t="shared" si="10"/>
        <v>412.90322580645159</v>
      </c>
      <c r="N66" s="13">
        <f t="shared" si="40"/>
        <v>2551.7419354838707</v>
      </c>
      <c r="O66" s="13">
        <v>0</v>
      </c>
      <c r="Q66" s="13">
        <f t="shared" si="11"/>
        <v>5674.322580645161</v>
      </c>
      <c r="R66" s="12">
        <f t="shared" si="2"/>
        <v>309.67741935483866</v>
      </c>
      <c r="S66" s="12">
        <f t="shared" si="3"/>
        <v>100</v>
      </c>
      <c r="T66" s="21">
        <f t="shared" si="12"/>
        <v>0</v>
      </c>
      <c r="U66" s="13">
        <v>0</v>
      </c>
      <c r="V66" s="13">
        <f t="shared" si="33"/>
        <v>409.67741935483866</v>
      </c>
      <c r="W66" s="13">
        <f t="shared" si="5"/>
        <v>5264.645161290322</v>
      </c>
      <c r="X66" s="13">
        <v>400</v>
      </c>
      <c r="Y66" s="13">
        <f t="shared" si="14"/>
        <v>4864.645161290322</v>
      </c>
      <c r="Z66" s="12">
        <f t="shared" si="15"/>
        <v>339.35483870967744</v>
      </c>
      <c r="AA66" s="12">
        <f t="shared" si="6"/>
        <v>270</v>
      </c>
      <c r="AB66" s="1">
        <f t="shared" si="16"/>
        <v>0</v>
      </c>
      <c r="AC66" s="16">
        <f t="shared" si="38"/>
        <v>609.35483870967744</v>
      </c>
      <c r="AD66" s="16">
        <f t="shared" si="8"/>
        <v>6283.6774193548381</v>
      </c>
    </row>
    <row r="67" spans="1:30" x14ac:dyDescent="0.2">
      <c r="A67" s="10" t="s">
        <v>789</v>
      </c>
      <c r="B67" s="11">
        <f t="shared" si="17"/>
        <v>52</v>
      </c>
      <c r="C67" s="11" t="s">
        <v>459</v>
      </c>
      <c r="D67" s="11" t="s">
        <v>51</v>
      </c>
      <c r="E67" s="11" t="s">
        <v>658</v>
      </c>
      <c r="F67" s="22">
        <v>42896</v>
      </c>
      <c r="G67" s="11">
        <v>9</v>
      </c>
      <c r="H67" s="13">
        <f t="shared" si="0"/>
        <v>1451.6129032258063</v>
      </c>
      <c r="I67" s="13">
        <f t="shared" si="9"/>
        <v>0</v>
      </c>
      <c r="J67" s="13">
        <f t="shared" si="1"/>
        <v>72.58064516129032</v>
      </c>
      <c r="L67" s="13">
        <f t="shared" si="10"/>
        <v>232.25806451612902</v>
      </c>
      <c r="N67" s="13">
        <f t="shared" si="40"/>
        <v>1435.3548387096773</v>
      </c>
      <c r="O67" s="13">
        <v>0</v>
      </c>
      <c r="Q67" s="13">
        <f t="shared" si="11"/>
        <v>3191.8064516129029</v>
      </c>
      <c r="R67" s="12">
        <f t="shared" si="2"/>
        <v>174.19354838709677</v>
      </c>
      <c r="S67" s="12">
        <f t="shared" si="3"/>
        <v>56</v>
      </c>
      <c r="T67" s="21">
        <f t="shared" si="12"/>
        <v>0</v>
      </c>
      <c r="U67" s="13">
        <v>0</v>
      </c>
      <c r="V67" s="13">
        <f t="shared" si="33"/>
        <v>230.19354838709677</v>
      </c>
      <c r="W67" s="13">
        <f t="shared" si="5"/>
        <v>2961.6129032258063</v>
      </c>
      <c r="X67" s="13">
        <v>400</v>
      </c>
      <c r="Y67" s="13">
        <f t="shared" si="14"/>
        <v>2561.6129032258063</v>
      </c>
      <c r="Z67" s="12">
        <f t="shared" si="15"/>
        <v>190.88709677419354</v>
      </c>
      <c r="AA67" s="12">
        <f t="shared" si="6"/>
        <v>152</v>
      </c>
      <c r="AB67" s="1">
        <f t="shared" si="16"/>
        <v>0</v>
      </c>
      <c r="AC67" s="16">
        <f t="shared" si="38"/>
        <v>342.88709677419354</v>
      </c>
      <c r="AD67" s="16">
        <f t="shared" si="8"/>
        <v>3534.6935483870966</v>
      </c>
    </row>
    <row r="68" spans="1:30" hidden="1" x14ac:dyDescent="0.2">
      <c r="A68" s="10" t="s">
        <v>791</v>
      </c>
      <c r="C68" s="11" t="s">
        <v>461</v>
      </c>
      <c r="D68" s="11" t="s">
        <v>51</v>
      </c>
      <c r="E68" s="11" t="s">
        <v>658</v>
      </c>
      <c r="F68" s="22">
        <v>42900</v>
      </c>
      <c r="H68" s="13">
        <f t="shared" si="0"/>
        <v>0</v>
      </c>
      <c r="I68" s="13">
        <f t="shared" si="9"/>
        <v>0</v>
      </c>
      <c r="J68" s="13">
        <f t="shared" si="1"/>
        <v>0</v>
      </c>
      <c r="L68" s="13">
        <f t="shared" si="10"/>
        <v>0</v>
      </c>
      <c r="N68" s="13">
        <f t="shared" si="40"/>
        <v>0</v>
      </c>
      <c r="O68" s="13">
        <v>0</v>
      </c>
      <c r="Q68" s="13">
        <f t="shared" si="11"/>
        <v>0</v>
      </c>
      <c r="R68" s="12">
        <f t="shared" si="2"/>
        <v>0</v>
      </c>
      <c r="S68" s="12">
        <f t="shared" si="3"/>
        <v>0</v>
      </c>
      <c r="T68" s="21">
        <f t="shared" si="12"/>
        <v>0</v>
      </c>
      <c r="U68" s="13">
        <v>0</v>
      </c>
      <c r="V68" s="13">
        <f t="shared" si="33"/>
        <v>0</v>
      </c>
      <c r="W68" s="13">
        <f t="shared" si="5"/>
        <v>0</v>
      </c>
      <c r="Y68" s="13">
        <f t="shared" si="14"/>
        <v>0</v>
      </c>
      <c r="Z68" s="12">
        <f t="shared" si="15"/>
        <v>0</v>
      </c>
      <c r="AA68" s="12">
        <f t="shared" si="6"/>
        <v>0</v>
      </c>
      <c r="AB68" s="1">
        <f t="shared" si="16"/>
        <v>0</v>
      </c>
      <c r="AC68" s="16">
        <f t="shared" si="38"/>
        <v>0</v>
      </c>
      <c r="AD68" s="16">
        <f t="shared" si="8"/>
        <v>0</v>
      </c>
    </row>
    <row r="69" spans="1:30" x14ac:dyDescent="0.2">
      <c r="A69" s="10" t="s">
        <v>795</v>
      </c>
      <c r="B69" s="11">
        <v>53</v>
      </c>
      <c r="C69" s="11" t="s">
        <v>464</v>
      </c>
      <c r="D69" s="11" t="s">
        <v>51</v>
      </c>
      <c r="E69" s="11" t="s">
        <v>658</v>
      </c>
      <c r="F69" s="22">
        <v>42912</v>
      </c>
      <c r="G69" s="11">
        <v>31</v>
      </c>
      <c r="H69" s="13">
        <f t="shared" si="0"/>
        <v>5000</v>
      </c>
      <c r="I69" s="13">
        <f t="shared" si="9"/>
        <v>0</v>
      </c>
      <c r="J69" s="13">
        <f t="shared" si="1"/>
        <v>250</v>
      </c>
      <c r="L69" s="13">
        <f t="shared" si="10"/>
        <v>800</v>
      </c>
      <c r="N69" s="13">
        <f t="shared" si="40"/>
        <v>4944</v>
      </c>
      <c r="O69" s="13">
        <v>0</v>
      </c>
      <c r="Q69" s="13">
        <f t="shared" si="11"/>
        <v>10994</v>
      </c>
      <c r="R69" s="12">
        <f t="shared" si="2"/>
        <v>600</v>
      </c>
      <c r="S69" s="12">
        <f t="shared" si="3"/>
        <v>193</v>
      </c>
      <c r="T69" s="21">
        <f t="shared" si="12"/>
        <v>200</v>
      </c>
      <c r="U69" s="13">
        <v>0</v>
      </c>
      <c r="V69" s="13">
        <f t="shared" si="33"/>
        <v>993</v>
      </c>
      <c r="W69" s="13">
        <f t="shared" si="5"/>
        <v>10001</v>
      </c>
      <c r="Y69" s="13">
        <f t="shared" si="14"/>
        <v>10001</v>
      </c>
      <c r="Z69" s="12">
        <f t="shared" si="15"/>
        <v>657.5</v>
      </c>
      <c r="AA69" s="12">
        <f t="shared" si="6"/>
        <v>523</v>
      </c>
      <c r="AB69" s="1">
        <f t="shared" si="16"/>
        <v>0</v>
      </c>
      <c r="AC69" s="16">
        <f t="shared" si="38"/>
        <v>1180.5</v>
      </c>
      <c r="AD69" s="16">
        <f t="shared" si="8"/>
        <v>12174.5</v>
      </c>
    </row>
    <row r="70" spans="1:30" x14ac:dyDescent="0.2">
      <c r="A70" s="10" t="s">
        <v>796</v>
      </c>
      <c r="B70" s="11">
        <f t="shared" si="17"/>
        <v>54</v>
      </c>
      <c r="C70" s="11" t="s">
        <v>465</v>
      </c>
      <c r="D70" s="11" t="s">
        <v>51</v>
      </c>
      <c r="E70" s="11" t="s">
        <v>658</v>
      </c>
      <c r="F70" s="22">
        <v>42912</v>
      </c>
      <c r="G70" s="11">
        <v>30</v>
      </c>
      <c r="H70" s="13">
        <f t="shared" ref="H70:H123" si="42">(5000/G$3)*G70</f>
        <v>4838.7096774193542</v>
      </c>
      <c r="I70" s="13">
        <f t="shared" si="9"/>
        <v>0</v>
      </c>
      <c r="J70" s="13">
        <f t="shared" ref="J70:J133" si="43">(H70+I70)*5%</f>
        <v>241.93548387096772</v>
      </c>
      <c r="L70" s="13">
        <f t="shared" si="10"/>
        <v>774.19354838709671</v>
      </c>
      <c r="N70" s="13">
        <f t="shared" si="40"/>
        <v>4784.5161290322576</v>
      </c>
      <c r="O70" s="13">
        <v>0</v>
      </c>
      <c r="Q70" s="13">
        <f t="shared" si="11"/>
        <v>10639.354838709676</v>
      </c>
      <c r="R70" s="12">
        <f t="shared" ref="R70:R133" si="44">(H70+I70)*12%</f>
        <v>580.64516129032245</v>
      </c>
      <c r="S70" s="12">
        <f t="shared" ref="S70:S133" si="45">ROUNDUP((Q70*1.75%),0)</f>
        <v>187</v>
      </c>
      <c r="T70" s="21">
        <f t="shared" si="12"/>
        <v>200</v>
      </c>
      <c r="U70" s="13">
        <v>0</v>
      </c>
      <c r="V70" s="13">
        <f t="shared" si="33"/>
        <v>967.64516129032245</v>
      </c>
      <c r="W70" s="13">
        <f t="shared" ref="W70:W133" si="46">Q70-V70</f>
        <v>9671.7096774193542</v>
      </c>
      <c r="Y70" s="13">
        <f t="shared" si="14"/>
        <v>9671.7096774193542</v>
      </c>
      <c r="Z70" s="12">
        <f t="shared" si="15"/>
        <v>636.29032258064512</v>
      </c>
      <c r="AA70" s="12">
        <f t="shared" ref="AA70:AA133" si="47">CEILING((Q70)*4.75%,1)</f>
        <v>506</v>
      </c>
      <c r="AB70" s="1">
        <f t="shared" si="16"/>
        <v>0</v>
      </c>
      <c r="AC70" s="16">
        <f t="shared" si="38"/>
        <v>1142.2903225806451</v>
      </c>
      <c r="AD70" s="16">
        <f t="shared" ref="AD70:AD133" si="48">Q70+AC70</f>
        <v>11781.645161290322</v>
      </c>
    </row>
    <row r="71" spans="1:30" x14ac:dyDescent="0.2">
      <c r="A71" s="10" t="s">
        <v>797</v>
      </c>
      <c r="B71" s="11">
        <f t="shared" si="17"/>
        <v>55</v>
      </c>
      <c r="C71" s="11" t="s">
        <v>437</v>
      </c>
      <c r="D71" s="11" t="s">
        <v>51</v>
      </c>
      <c r="E71" s="11" t="s">
        <v>658</v>
      </c>
      <c r="F71" s="22">
        <v>42914</v>
      </c>
      <c r="G71" s="11">
        <v>15</v>
      </c>
      <c r="H71" s="13">
        <f t="shared" si="42"/>
        <v>2419.3548387096771</v>
      </c>
      <c r="I71" s="13">
        <f t="shared" ref="I71:I134" si="49">((0)/G$3)*G71</f>
        <v>0</v>
      </c>
      <c r="J71" s="13">
        <f t="shared" si="43"/>
        <v>120.96774193548386</v>
      </c>
      <c r="L71" s="13">
        <f t="shared" ref="L71:L123" si="50">((800)/G$3)*G71</f>
        <v>387.09677419354836</v>
      </c>
      <c r="N71" s="13">
        <f t="shared" si="40"/>
        <v>2392.2580645161288</v>
      </c>
      <c r="O71" s="13">
        <v>0</v>
      </c>
      <c r="Q71" s="13">
        <f t="shared" ref="Q71:Q134" si="51">SUM(H71:P71)</f>
        <v>5319.6774193548381</v>
      </c>
      <c r="R71" s="12">
        <f t="shared" si="44"/>
        <v>290.32258064516122</v>
      </c>
      <c r="S71" s="12">
        <f t="shared" si="45"/>
        <v>94</v>
      </c>
      <c r="T71" s="21">
        <f t="shared" ref="T71:T97" si="52">+IF(Q71&lt;2501,0,IF((Q71&gt;2501)*(Q71&lt;3500),0,IF((Q71&gt;3501)*(Q71&lt;7500),0,IF((Q71&gt;7501)*(Q71&lt;10000),175,200))))</f>
        <v>0</v>
      </c>
      <c r="U71" s="13">
        <v>0</v>
      </c>
      <c r="V71" s="13">
        <f t="shared" si="33"/>
        <v>384.32258064516122</v>
      </c>
      <c r="W71" s="13">
        <f t="shared" si="46"/>
        <v>4935.3548387096771</v>
      </c>
      <c r="Y71" s="13">
        <f t="shared" ref="Y71:Y134" si="53">W71-X71</f>
        <v>4935.3548387096771</v>
      </c>
      <c r="Z71" s="12">
        <f t="shared" ref="Z71:Z228" si="54">(H71+I71)*13.15%</f>
        <v>318.14516129032256</v>
      </c>
      <c r="AA71" s="12">
        <f t="shared" si="47"/>
        <v>253</v>
      </c>
      <c r="AB71" s="1">
        <f t="shared" ref="AB71:AB134" si="55">U71*3</f>
        <v>0</v>
      </c>
      <c r="AC71" s="16">
        <f t="shared" si="38"/>
        <v>571.14516129032256</v>
      </c>
      <c r="AD71" s="16">
        <f t="shared" si="48"/>
        <v>5890.822580645161</v>
      </c>
    </row>
    <row r="72" spans="1:30" x14ac:dyDescent="0.2">
      <c r="A72" s="10" t="s">
        <v>798</v>
      </c>
      <c r="B72" s="11">
        <f t="shared" ref="B72:B135" si="56">B71+1</f>
        <v>56</v>
      </c>
      <c r="C72" s="11" t="s">
        <v>438</v>
      </c>
      <c r="D72" s="11" t="s">
        <v>51</v>
      </c>
      <c r="E72" s="11" t="s">
        <v>662</v>
      </c>
      <c r="F72" s="22">
        <v>42915</v>
      </c>
      <c r="G72" s="11">
        <v>31</v>
      </c>
      <c r="H72" s="13">
        <f t="shared" si="42"/>
        <v>5000</v>
      </c>
      <c r="I72" s="13">
        <f t="shared" si="49"/>
        <v>0</v>
      </c>
      <c r="J72" s="13">
        <f t="shared" si="43"/>
        <v>250</v>
      </c>
      <c r="L72" s="13">
        <f t="shared" si="50"/>
        <v>800</v>
      </c>
      <c r="N72" s="13">
        <f>((2950+6000)/G$3)*G72</f>
        <v>8950</v>
      </c>
      <c r="O72" s="13">
        <v>0</v>
      </c>
      <c r="Q72" s="13">
        <f t="shared" si="51"/>
        <v>15000</v>
      </c>
      <c r="R72" s="12">
        <f t="shared" si="44"/>
        <v>600</v>
      </c>
      <c r="S72" s="12">
        <f t="shared" si="45"/>
        <v>263</v>
      </c>
      <c r="T72" s="21">
        <f t="shared" si="52"/>
        <v>200</v>
      </c>
      <c r="U72" s="13">
        <v>0</v>
      </c>
      <c r="V72" s="13">
        <f t="shared" si="33"/>
        <v>1063</v>
      </c>
      <c r="W72" s="13">
        <f t="shared" si="46"/>
        <v>13937</v>
      </c>
      <c r="Y72" s="13">
        <f t="shared" si="53"/>
        <v>13937</v>
      </c>
      <c r="Z72" s="12">
        <f t="shared" si="54"/>
        <v>657.5</v>
      </c>
      <c r="AA72" s="12">
        <f t="shared" si="47"/>
        <v>713</v>
      </c>
      <c r="AB72" s="1">
        <f t="shared" si="55"/>
        <v>0</v>
      </c>
      <c r="AC72" s="16">
        <f t="shared" si="38"/>
        <v>1370.5</v>
      </c>
      <c r="AD72" s="16">
        <f t="shared" si="48"/>
        <v>16370.5</v>
      </c>
    </row>
    <row r="73" spans="1:30" x14ac:dyDescent="0.2">
      <c r="A73" s="10" t="s">
        <v>799</v>
      </c>
      <c r="B73" s="11">
        <f t="shared" si="56"/>
        <v>57</v>
      </c>
      <c r="C73" s="11" t="s">
        <v>466</v>
      </c>
      <c r="D73" s="11" t="s">
        <v>51</v>
      </c>
      <c r="E73" s="11" t="s">
        <v>581</v>
      </c>
      <c r="F73" s="22">
        <v>42907</v>
      </c>
      <c r="G73" s="11">
        <v>36</v>
      </c>
      <c r="H73" s="13">
        <f t="shared" si="42"/>
        <v>5806.4516129032254</v>
      </c>
      <c r="I73" s="13">
        <f t="shared" si="49"/>
        <v>0</v>
      </c>
      <c r="J73" s="13">
        <f t="shared" si="43"/>
        <v>290.32258064516128</v>
      </c>
      <c r="L73" s="13">
        <f t="shared" si="50"/>
        <v>929.0322580645161</v>
      </c>
      <c r="N73" s="13">
        <f>((2950+3000)/G$3)*G73</f>
        <v>6909.677419354839</v>
      </c>
      <c r="O73" s="13">
        <v>0</v>
      </c>
      <c r="Q73" s="13">
        <f t="shared" si="51"/>
        <v>13935.483870967742</v>
      </c>
      <c r="R73" s="12">
        <f t="shared" si="44"/>
        <v>696.77419354838707</v>
      </c>
      <c r="S73" s="12">
        <f t="shared" si="45"/>
        <v>244</v>
      </c>
      <c r="T73" s="21">
        <f t="shared" si="52"/>
        <v>200</v>
      </c>
      <c r="U73" s="13">
        <v>0</v>
      </c>
      <c r="V73" s="13">
        <f t="shared" si="33"/>
        <v>1140.7741935483871</v>
      </c>
      <c r="W73" s="13">
        <f t="shared" si="46"/>
        <v>12794.709677419356</v>
      </c>
      <c r="Y73" s="13">
        <f t="shared" si="53"/>
        <v>12794.709677419356</v>
      </c>
      <c r="Z73" s="12">
        <f t="shared" si="54"/>
        <v>763.54838709677415</v>
      </c>
      <c r="AA73" s="12">
        <f t="shared" si="47"/>
        <v>662</v>
      </c>
      <c r="AB73" s="1">
        <f t="shared" si="55"/>
        <v>0</v>
      </c>
      <c r="AC73" s="16">
        <f t="shared" si="38"/>
        <v>1425.5483870967741</v>
      </c>
      <c r="AD73" s="16">
        <f t="shared" si="48"/>
        <v>15361.032258064517</v>
      </c>
    </row>
    <row r="74" spans="1:30" x14ac:dyDescent="0.2">
      <c r="A74" s="10" t="s">
        <v>840</v>
      </c>
      <c r="B74" s="11">
        <f t="shared" si="56"/>
        <v>58</v>
      </c>
      <c r="C74" s="11" t="s">
        <v>670</v>
      </c>
      <c r="D74" s="11" t="s">
        <v>51</v>
      </c>
      <c r="E74" s="11" t="s">
        <v>658</v>
      </c>
      <c r="F74" s="22">
        <v>42917</v>
      </c>
      <c r="G74" s="11">
        <v>11</v>
      </c>
      <c r="H74" s="13">
        <f t="shared" si="42"/>
        <v>1774.1935483870966</v>
      </c>
      <c r="I74" s="13">
        <f t="shared" si="49"/>
        <v>0</v>
      </c>
      <c r="J74" s="13">
        <f t="shared" si="43"/>
        <v>88.709677419354833</v>
      </c>
      <c r="L74" s="13">
        <f t="shared" si="50"/>
        <v>283.87096774193549</v>
      </c>
      <c r="N74" s="13">
        <f t="shared" ref="N74:N86" si="57">((1950+1000+611+1383)/G$3)*G74</f>
        <v>1754.3225806451612</v>
      </c>
      <c r="O74" s="13">
        <v>0</v>
      </c>
      <c r="Q74" s="13">
        <f t="shared" si="51"/>
        <v>3901.0967741935483</v>
      </c>
      <c r="R74" s="12">
        <f t="shared" si="44"/>
        <v>212.90322580645159</v>
      </c>
      <c r="S74" s="12">
        <f t="shared" si="45"/>
        <v>69</v>
      </c>
      <c r="T74" s="21">
        <f t="shared" si="52"/>
        <v>0</v>
      </c>
      <c r="U74" s="13">
        <v>0</v>
      </c>
      <c r="V74" s="13">
        <f t="shared" si="33"/>
        <v>281.90322580645159</v>
      </c>
      <c r="W74" s="13">
        <f t="shared" si="46"/>
        <v>3619.1935483870966</v>
      </c>
      <c r="Y74" s="13">
        <f t="shared" si="53"/>
        <v>3619.1935483870966</v>
      </c>
      <c r="Z74" s="12">
        <f t="shared" si="54"/>
        <v>233.3064516129032</v>
      </c>
      <c r="AA74" s="12">
        <f t="shared" si="47"/>
        <v>186</v>
      </c>
      <c r="AB74" s="1">
        <f t="shared" si="55"/>
        <v>0</v>
      </c>
      <c r="AC74" s="16">
        <f t="shared" ref="AC74:AC87" si="58">SUM(Z74:AB74)</f>
        <v>419.30645161290317</v>
      </c>
      <c r="AD74" s="16">
        <f t="shared" si="48"/>
        <v>4320.4032258064517</v>
      </c>
    </row>
    <row r="75" spans="1:30" x14ac:dyDescent="0.2">
      <c r="A75" s="10" t="s">
        <v>841</v>
      </c>
      <c r="B75" s="11">
        <f t="shared" si="56"/>
        <v>59</v>
      </c>
      <c r="C75" s="11" t="s">
        <v>671</v>
      </c>
      <c r="D75" s="11" t="s">
        <v>51</v>
      </c>
      <c r="E75" s="11" t="s">
        <v>658</v>
      </c>
      <c r="F75" s="22">
        <v>42917</v>
      </c>
      <c r="G75" s="11">
        <v>32</v>
      </c>
      <c r="H75" s="13">
        <f t="shared" si="42"/>
        <v>5161.2903225806449</v>
      </c>
      <c r="I75" s="13">
        <f t="shared" si="49"/>
        <v>0</v>
      </c>
      <c r="J75" s="13">
        <f t="shared" si="43"/>
        <v>258.06451612903226</v>
      </c>
      <c r="L75" s="13">
        <f t="shared" si="50"/>
        <v>825.80645161290317</v>
      </c>
      <c r="N75" s="13">
        <f t="shared" si="57"/>
        <v>5103.4838709677415</v>
      </c>
      <c r="O75" s="13">
        <v>0</v>
      </c>
      <c r="Q75" s="13">
        <f t="shared" si="51"/>
        <v>11348.645161290322</v>
      </c>
      <c r="R75" s="12">
        <f t="shared" si="44"/>
        <v>619.35483870967732</v>
      </c>
      <c r="S75" s="12">
        <f t="shared" si="45"/>
        <v>199</v>
      </c>
      <c r="T75" s="21">
        <f t="shared" si="52"/>
        <v>200</v>
      </c>
      <c r="U75" s="13">
        <v>0</v>
      </c>
      <c r="V75" s="13">
        <f t="shared" si="33"/>
        <v>1018.3548387096773</v>
      </c>
      <c r="W75" s="13">
        <f t="shared" si="46"/>
        <v>10330.290322580644</v>
      </c>
      <c r="Y75" s="13">
        <f t="shared" si="53"/>
        <v>10330.290322580644</v>
      </c>
      <c r="Z75" s="12">
        <f t="shared" si="54"/>
        <v>678.70967741935488</v>
      </c>
      <c r="AA75" s="12">
        <f t="shared" si="47"/>
        <v>540</v>
      </c>
      <c r="AB75" s="1">
        <f t="shared" si="55"/>
        <v>0</v>
      </c>
      <c r="AC75" s="16">
        <f t="shared" si="58"/>
        <v>1218.7096774193549</v>
      </c>
      <c r="AD75" s="16">
        <f t="shared" si="48"/>
        <v>12567.354838709676</v>
      </c>
    </row>
    <row r="76" spans="1:30" x14ac:dyDescent="0.2">
      <c r="A76" s="10" t="s">
        <v>842</v>
      </c>
      <c r="B76" s="11">
        <f t="shared" si="56"/>
        <v>60</v>
      </c>
      <c r="C76" s="11" t="s">
        <v>672</v>
      </c>
      <c r="D76" s="11" t="s">
        <v>51</v>
      </c>
      <c r="E76" s="19" t="s">
        <v>581</v>
      </c>
      <c r="F76" s="22">
        <v>42917</v>
      </c>
      <c r="G76" s="11">
        <v>35</v>
      </c>
      <c r="H76" s="13">
        <f t="shared" si="42"/>
        <v>5645.1612903225805</v>
      </c>
      <c r="I76" s="13">
        <f t="shared" si="49"/>
        <v>0</v>
      </c>
      <c r="J76" s="13">
        <f t="shared" si="43"/>
        <v>282.25806451612902</v>
      </c>
      <c r="L76" s="13">
        <f t="shared" si="50"/>
        <v>903.22580645161281</v>
      </c>
      <c r="N76" s="13">
        <f t="shared" si="57"/>
        <v>5581.9354838709669</v>
      </c>
      <c r="O76" s="13">
        <v>0</v>
      </c>
      <c r="Q76" s="13">
        <f t="shared" si="51"/>
        <v>12412.580645161288</v>
      </c>
      <c r="R76" s="12">
        <f t="shared" si="44"/>
        <v>677.41935483870964</v>
      </c>
      <c r="S76" s="12">
        <f t="shared" si="45"/>
        <v>218</v>
      </c>
      <c r="T76" s="21">
        <f t="shared" si="52"/>
        <v>200</v>
      </c>
      <c r="U76" s="13">
        <v>0</v>
      </c>
      <c r="V76" s="13">
        <f t="shared" si="33"/>
        <v>1095.4193548387098</v>
      </c>
      <c r="W76" s="13">
        <f t="shared" si="46"/>
        <v>11317.161290322578</v>
      </c>
      <c r="Y76" s="13">
        <f t="shared" si="53"/>
        <v>11317.161290322578</v>
      </c>
      <c r="Z76" s="12">
        <f t="shared" si="54"/>
        <v>742.33870967741939</v>
      </c>
      <c r="AA76" s="12">
        <f t="shared" si="47"/>
        <v>590</v>
      </c>
      <c r="AB76" s="1">
        <f t="shared" si="55"/>
        <v>0</v>
      </c>
      <c r="AC76" s="16">
        <f t="shared" si="58"/>
        <v>1332.3387096774195</v>
      </c>
      <c r="AD76" s="16">
        <f t="shared" si="48"/>
        <v>13744.919354838708</v>
      </c>
    </row>
    <row r="77" spans="1:30" x14ac:dyDescent="0.2">
      <c r="A77" s="10" t="s">
        <v>843</v>
      </c>
      <c r="B77" s="11">
        <f t="shared" si="56"/>
        <v>61</v>
      </c>
      <c r="C77" s="11" t="s">
        <v>673</v>
      </c>
      <c r="D77" s="11" t="s">
        <v>51</v>
      </c>
      <c r="E77" s="19" t="s">
        <v>701</v>
      </c>
      <c r="F77" s="22">
        <v>42929</v>
      </c>
      <c r="G77" s="11">
        <v>31</v>
      </c>
      <c r="H77" s="13">
        <f t="shared" si="42"/>
        <v>5000</v>
      </c>
      <c r="I77" s="13">
        <f t="shared" si="49"/>
        <v>0</v>
      </c>
      <c r="J77" s="13">
        <f t="shared" si="43"/>
        <v>250</v>
      </c>
      <c r="L77" s="13">
        <f t="shared" si="50"/>
        <v>800</v>
      </c>
      <c r="N77" s="13">
        <f>((1950+1000+0)/G$3)*G77</f>
        <v>2950</v>
      </c>
      <c r="O77" s="13">
        <v>0</v>
      </c>
      <c r="Q77" s="13">
        <f t="shared" si="51"/>
        <v>9000</v>
      </c>
      <c r="R77" s="12">
        <f t="shared" si="44"/>
        <v>600</v>
      </c>
      <c r="S77" s="12">
        <f t="shared" si="45"/>
        <v>158</v>
      </c>
      <c r="T77" s="21">
        <f t="shared" si="52"/>
        <v>175</v>
      </c>
      <c r="U77" s="13">
        <v>0</v>
      </c>
      <c r="V77" s="13">
        <f t="shared" si="33"/>
        <v>933</v>
      </c>
      <c r="W77" s="13">
        <f t="shared" si="46"/>
        <v>8067</v>
      </c>
      <c r="Y77" s="13">
        <f t="shared" si="53"/>
        <v>8067</v>
      </c>
      <c r="Z77" s="12">
        <f t="shared" si="54"/>
        <v>657.5</v>
      </c>
      <c r="AA77" s="12">
        <f t="shared" si="47"/>
        <v>428</v>
      </c>
      <c r="AB77" s="1">
        <f t="shared" si="55"/>
        <v>0</v>
      </c>
      <c r="AC77" s="16">
        <f t="shared" si="58"/>
        <v>1085.5</v>
      </c>
      <c r="AD77" s="16">
        <f t="shared" si="48"/>
        <v>10085.5</v>
      </c>
    </row>
    <row r="78" spans="1:30" x14ac:dyDescent="0.2">
      <c r="A78" s="10" t="s">
        <v>844</v>
      </c>
      <c r="B78" s="11">
        <f t="shared" si="56"/>
        <v>62</v>
      </c>
      <c r="C78" s="11" t="s">
        <v>674</v>
      </c>
      <c r="D78" s="11" t="s">
        <v>51</v>
      </c>
      <c r="E78" s="11" t="s">
        <v>658</v>
      </c>
      <c r="F78" s="22">
        <v>42930</v>
      </c>
      <c r="G78" s="11">
        <v>30</v>
      </c>
      <c r="H78" s="13">
        <f t="shared" si="42"/>
        <v>4838.7096774193542</v>
      </c>
      <c r="I78" s="13">
        <f t="shared" si="49"/>
        <v>0</v>
      </c>
      <c r="J78" s="13">
        <f t="shared" si="43"/>
        <v>241.93548387096772</v>
      </c>
      <c r="L78" s="13">
        <f t="shared" si="50"/>
        <v>774.19354838709671</v>
      </c>
      <c r="N78" s="13">
        <f t="shared" si="57"/>
        <v>4784.5161290322576</v>
      </c>
      <c r="O78" s="13">
        <v>0</v>
      </c>
      <c r="Q78" s="13">
        <f t="shared" si="51"/>
        <v>10639.354838709676</v>
      </c>
      <c r="R78" s="12">
        <f t="shared" si="44"/>
        <v>580.64516129032245</v>
      </c>
      <c r="S78" s="12">
        <f t="shared" si="45"/>
        <v>187</v>
      </c>
      <c r="T78" s="21">
        <f t="shared" si="52"/>
        <v>200</v>
      </c>
      <c r="U78" s="13">
        <v>0</v>
      </c>
      <c r="V78" s="13">
        <f t="shared" si="33"/>
        <v>967.64516129032245</v>
      </c>
      <c r="W78" s="13">
        <f t="shared" si="46"/>
        <v>9671.7096774193542</v>
      </c>
      <c r="Y78" s="13">
        <f t="shared" si="53"/>
        <v>9671.7096774193542</v>
      </c>
      <c r="Z78" s="12">
        <f t="shared" si="54"/>
        <v>636.29032258064512</v>
      </c>
      <c r="AA78" s="12">
        <f t="shared" si="47"/>
        <v>506</v>
      </c>
      <c r="AB78" s="1">
        <f t="shared" si="55"/>
        <v>0</v>
      </c>
      <c r="AC78" s="16">
        <f t="shared" si="58"/>
        <v>1142.2903225806451</v>
      </c>
      <c r="AD78" s="16">
        <f t="shared" si="48"/>
        <v>11781.645161290322</v>
      </c>
    </row>
    <row r="79" spans="1:30" x14ac:dyDescent="0.2">
      <c r="A79" s="10" t="s">
        <v>845</v>
      </c>
      <c r="B79" s="11">
        <f t="shared" si="56"/>
        <v>63</v>
      </c>
      <c r="C79" s="11" t="s">
        <v>675</v>
      </c>
      <c r="D79" s="11" t="s">
        <v>51</v>
      </c>
      <c r="E79" s="19" t="s">
        <v>236</v>
      </c>
      <c r="F79" s="22">
        <v>42917</v>
      </c>
      <c r="G79" s="11">
        <v>32</v>
      </c>
      <c r="H79" s="13">
        <f t="shared" si="42"/>
        <v>5161.2903225806449</v>
      </c>
      <c r="I79" s="13">
        <f t="shared" si="49"/>
        <v>0</v>
      </c>
      <c r="J79" s="13">
        <f t="shared" si="43"/>
        <v>258.06451612903226</v>
      </c>
      <c r="L79" s="13">
        <f t="shared" si="50"/>
        <v>825.80645161290317</v>
      </c>
      <c r="N79" s="13">
        <f>((1950+1000+0)/G$3)*G79</f>
        <v>3045.1612903225805</v>
      </c>
      <c r="O79" s="13">
        <v>0</v>
      </c>
      <c r="Q79" s="13">
        <f t="shared" si="51"/>
        <v>9290.322580645161</v>
      </c>
      <c r="R79" s="12">
        <f t="shared" si="44"/>
        <v>619.35483870967732</v>
      </c>
      <c r="S79" s="12">
        <f t="shared" si="45"/>
        <v>163</v>
      </c>
      <c r="T79" s="21">
        <f t="shared" si="52"/>
        <v>175</v>
      </c>
      <c r="U79" s="13">
        <v>0</v>
      </c>
      <c r="V79" s="13">
        <f t="shared" si="33"/>
        <v>957.35483870967732</v>
      </c>
      <c r="W79" s="13">
        <f t="shared" si="46"/>
        <v>8332.967741935483</v>
      </c>
      <c r="Y79" s="13">
        <f t="shared" si="53"/>
        <v>8332.967741935483</v>
      </c>
      <c r="Z79" s="12">
        <f t="shared" si="54"/>
        <v>678.70967741935488</v>
      </c>
      <c r="AA79" s="12">
        <f t="shared" si="47"/>
        <v>442</v>
      </c>
      <c r="AB79" s="1">
        <f t="shared" si="55"/>
        <v>0</v>
      </c>
      <c r="AC79" s="16">
        <f t="shared" si="58"/>
        <v>1120.7096774193549</v>
      </c>
      <c r="AD79" s="16">
        <f t="shared" si="48"/>
        <v>10411.032258064515</v>
      </c>
    </row>
    <row r="80" spans="1:30" x14ac:dyDescent="0.2">
      <c r="A80" s="10" t="s">
        <v>846</v>
      </c>
      <c r="B80" s="11">
        <f t="shared" si="56"/>
        <v>64</v>
      </c>
      <c r="C80" s="11" t="s">
        <v>676</v>
      </c>
      <c r="D80" s="11" t="s">
        <v>51</v>
      </c>
      <c r="E80" s="11" t="s">
        <v>658</v>
      </c>
      <c r="F80" s="22">
        <v>42933</v>
      </c>
      <c r="G80" s="11">
        <v>30</v>
      </c>
      <c r="H80" s="13">
        <f t="shared" si="42"/>
        <v>4838.7096774193542</v>
      </c>
      <c r="I80" s="13">
        <f t="shared" si="49"/>
        <v>0</v>
      </c>
      <c r="J80" s="13">
        <f t="shared" si="43"/>
        <v>241.93548387096772</v>
      </c>
      <c r="L80" s="13">
        <f t="shared" si="50"/>
        <v>774.19354838709671</v>
      </c>
      <c r="N80" s="13">
        <f t="shared" si="57"/>
        <v>4784.5161290322576</v>
      </c>
      <c r="O80" s="13">
        <v>0</v>
      </c>
      <c r="Q80" s="13">
        <f t="shared" si="51"/>
        <v>10639.354838709676</v>
      </c>
      <c r="R80" s="12">
        <f t="shared" si="44"/>
        <v>580.64516129032245</v>
      </c>
      <c r="S80" s="12">
        <f t="shared" si="45"/>
        <v>187</v>
      </c>
      <c r="T80" s="21">
        <f t="shared" si="52"/>
        <v>200</v>
      </c>
      <c r="U80" s="13">
        <v>0</v>
      </c>
      <c r="V80" s="13">
        <f t="shared" si="33"/>
        <v>967.64516129032245</v>
      </c>
      <c r="W80" s="13">
        <f t="shared" si="46"/>
        <v>9671.7096774193542</v>
      </c>
      <c r="Y80" s="13">
        <f t="shared" si="53"/>
        <v>9671.7096774193542</v>
      </c>
      <c r="Z80" s="12">
        <f t="shared" si="54"/>
        <v>636.29032258064512</v>
      </c>
      <c r="AA80" s="12">
        <f t="shared" si="47"/>
        <v>506</v>
      </c>
      <c r="AB80" s="1">
        <f t="shared" si="55"/>
        <v>0</v>
      </c>
      <c r="AC80" s="16">
        <f t="shared" si="58"/>
        <v>1142.2903225806451</v>
      </c>
      <c r="AD80" s="16">
        <f t="shared" si="48"/>
        <v>11781.645161290322</v>
      </c>
    </row>
    <row r="81" spans="1:30" x14ac:dyDescent="0.2">
      <c r="A81" s="10" t="s">
        <v>847</v>
      </c>
      <c r="B81" s="11">
        <f t="shared" si="56"/>
        <v>65</v>
      </c>
      <c r="C81" s="11" t="s">
        <v>677</v>
      </c>
      <c r="D81" s="11" t="s">
        <v>51</v>
      </c>
      <c r="E81" s="11" t="s">
        <v>658</v>
      </c>
      <c r="F81" s="22">
        <v>42935</v>
      </c>
      <c r="G81" s="11">
        <v>36</v>
      </c>
      <c r="H81" s="13">
        <f t="shared" si="42"/>
        <v>5806.4516129032254</v>
      </c>
      <c r="I81" s="13">
        <f t="shared" si="49"/>
        <v>0</v>
      </c>
      <c r="J81" s="13">
        <f t="shared" si="43"/>
        <v>290.32258064516128</v>
      </c>
      <c r="L81" s="13">
        <f t="shared" si="50"/>
        <v>929.0322580645161</v>
      </c>
      <c r="N81" s="13">
        <f t="shared" si="57"/>
        <v>5741.4193548387093</v>
      </c>
      <c r="O81" s="13">
        <v>0</v>
      </c>
      <c r="Q81" s="13">
        <f t="shared" si="51"/>
        <v>12767.225806451612</v>
      </c>
      <c r="R81" s="12">
        <f t="shared" si="44"/>
        <v>696.77419354838707</v>
      </c>
      <c r="S81" s="12">
        <f t="shared" si="45"/>
        <v>224</v>
      </c>
      <c r="T81" s="21">
        <f t="shared" si="52"/>
        <v>200</v>
      </c>
      <c r="U81" s="13">
        <v>0</v>
      </c>
      <c r="V81" s="13">
        <f t="shared" si="33"/>
        <v>1120.7741935483871</v>
      </c>
      <c r="W81" s="13">
        <f t="shared" si="46"/>
        <v>11646.451612903225</v>
      </c>
      <c r="Y81" s="13">
        <f t="shared" si="53"/>
        <v>11646.451612903225</v>
      </c>
      <c r="Z81" s="12">
        <f t="shared" si="54"/>
        <v>763.54838709677415</v>
      </c>
      <c r="AA81" s="12">
        <f t="shared" si="47"/>
        <v>607</v>
      </c>
      <c r="AB81" s="1">
        <f t="shared" si="55"/>
        <v>0</v>
      </c>
      <c r="AC81" s="16">
        <f t="shared" si="58"/>
        <v>1370.5483870967741</v>
      </c>
      <c r="AD81" s="16">
        <f t="shared" si="48"/>
        <v>14137.774193548386</v>
      </c>
    </row>
    <row r="82" spans="1:30" x14ac:dyDescent="0.2">
      <c r="A82" s="10" t="s">
        <v>848</v>
      </c>
      <c r="B82" s="11">
        <f t="shared" si="56"/>
        <v>66</v>
      </c>
      <c r="C82" s="11" t="s">
        <v>678</v>
      </c>
      <c r="D82" s="11" t="s">
        <v>51</v>
      </c>
      <c r="E82" s="19" t="s">
        <v>237</v>
      </c>
      <c r="F82" s="22">
        <v>42935</v>
      </c>
      <c r="G82" s="11">
        <v>32</v>
      </c>
      <c r="H82" s="13">
        <f t="shared" si="42"/>
        <v>5161.2903225806449</v>
      </c>
      <c r="I82" s="13">
        <f t="shared" si="49"/>
        <v>0</v>
      </c>
      <c r="J82" s="13">
        <f t="shared" si="43"/>
        <v>258.06451612903226</v>
      </c>
      <c r="L82" s="13">
        <f t="shared" si="50"/>
        <v>825.80645161290317</v>
      </c>
      <c r="N82" s="13">
        <f t="shared" si="57"/>
        <v>5103.4838709677415</v>
      </c>
      <c r="O82" s="13">
        <v>0</v>
      </c>
      <c r="Q82" s="13">
        <f t="shared" si="51"/>
        <v>11348.645161290322</v>
      </c>
      <c r="R82" s="12">
        <f t="shared" si="44"/>
        <v>619.35483870967732</v>
      </c>
      <c r="S82" s="12">
        <f t="shared" si="45"/>
        <v>199</v>
      </c>
      <c r="T82" s="21">
        <f t="shared" si="52"/>
        <v>200</v>
      </c>
      <c r="U82" s="13">
        <v>0</v>
      </c>
      <c r="V82" s="13">
        <f t="shared" si="33"/>
        <v>1018.3548387096773</v>
      </c>
      <c r="W82" s="13">
        <f t="shared" si="46"/>
        <v>10330.290322580644</v>
      </c>
      <c r="Y82" s="13">
        <f t="shared" si="53"/>
        <v>10330.290322580644</v>
      </c>
      <c r="Z82" s="12">
        <f t="shared" si="54"/>
        <v>678.70967741935488</v>
      </c>
      <c r="AA82" s="12">
        <f t="shared" si="47"/>
        <v>540</v>
      </c>
      <c r="AB82" s="1">
        <f t="shared" si="55"/>
        <v>0</v>
      </c>
      <c r="AC82" s="16">
        <f t="shared" si="58"/>
        <v>1218.7096774193549</v>
      </c>
      <c r="AD82" s="16">
        <f t="shared" si="48"/>
        <v>12567.354838709676</v>
      </c>
    </row>
    <row r="83" spans="1:30" x14ac:dyDescent="0.2">
      <c r="A83" s="10" t="s">
        <v>850</v>
      </c>
      <c r="B83" s="11">
        <f t="shared" si="56"/>
        <v>67</v>
      </c>
      <c r="C83" s="11" t="s">
        <v>680</v>
      </c>
      <c r="D83" s="11" t="s">
        <v>51</v>
      </c>
      <c r="E83" s="19" t="s">
        <v>581</v>
      </c>
      <c r="F83" s="22">
        <v>42939</v>
      </c>
      <c r="G83" s="11">
        <v>32</v>
      </c>
      <c r="H83" s="13">
        <f t="shared" si="42"/>
        <v>5161.2903225806449</v>
      </c>
      <c r="I83" s="13">
        <f t="shared" si="49"/>
        <v>0</v>
      </c>
      <c r="J83" s="13">
        <f t="shared" si="43"/>
        <v>258.06451612903226</v>
      </c>
      <c r="L83" s="13">
        <f t="shared" si="50"/>
        <v>825.80645161290317</v>
      </c>
      <c r="N83" s="13">
        <f t="shared" si="57"/>
        <v>5103.4838709677415</v>
      </c>
      <c r="O83" s="13">
        <v>0</v>
      </c>
      <c r="Q83" s="13">
        <f t="shared" si="51"/>
        <v>11348.645161290322</v>
      </c>
      <c r="R83" s="12">
        <f t="shared" si="44"/>
        <v>619.35483870967732</v>
      </c>
      <c r="S83" s="12">
        <f t="shared" si="45"/>
        <v>199</v>
      </c>
      <c r="T83" s="21">
        <f t="shared" si="52"/>
        <v>200</v>
      </c>
      <c r="U83" s="13">
        <v>0</v>
      </c>
      <c r="V83" s="13">
        <f t="shared" si="33"/>
        <v>1018.3548387096773</v>
      </c>
      <c r="W83" s="13">
        <f t="shared" si="46"/>
        <v>10330.290322580644</v>
      </c>
      <c r="Y83" s="13">
        <f t="shared" si="53"/>
        <v>10330.290322580644</v>
      </c>
      <c r="Z83" s="12">
        <f t="shared" si="54"/>
        <v>678.70967741935488</v>
      </c>
      <c r="AA83" s="12">
        <f t="shared" si="47"/>
        <v>540</v>
      </c>
      <c r="AB83" s="1">
        <f t="shared" si="55"/>
        <v>0</v>
      </c>
      <c r="AC83" s="16">
        <f t="shared" si="58"/>
        <v>1218.7096774193549</v>
      </c>
      <c r="AD83" s="16">
        <f t="shared" si="48"/>
        <v>12567.354838709676</v>
      </c>
    </row>
    <row r="84" spans="1:30" x14ac:dyDescent="0.2">
      <c r="A84" s="10" t="s">
        <v>851</v>
      </c>
      <c r="B84" s="11">
        <f t="shared" si="56"/>
        <v>68</v>
      </c>
      <c r="C84" s="11" t="s">
        <v>1028</v>
      </c>
      <c r="D84" s="11" t="s">
        <v>51</v>
      </c>
      <c r="E84" s="19" t="s">
        <v>237</v>
      </c>
      <c r="F84" s="22">
        <v>42940</v>
      </c>
      <c r="G84" s="11">
        <v>27</v>
      </c>
      <c r="H84" s="13">
        <f t="shared" si="42"/>
        <v>4354.8387096774195</v>
      </c>
      <c r="I84" s="13">
        <f t="shared" si="49"/>
        <v>0</v>
      </c>
      <c r="J84" s="13">
        <f t="shared" si="43"/>
        <v>217.74193548387098</v>
      </c>
      <c r="L84" s="13">
        <f t="shared" si="50"/>
        <v>696.77419354838707</v>
      </c>
      <c r="N84" s="13">
        <f>((1950+1000+611+1383+1006)/G$3)*G84</f>
        <v>5182.2580645161288</v>
      </c>
      <c r="O84" s="13">
        <v>0</v>
      </c>
      <c r="Q84" s="13">
        <f t="shared" si="51"/>
        <v>10451.612903225807</v>
      </c>
      <c r="R84" s="12">
        <f t="shared" si="44"/>
        <v>522.58064516129036</v>
      </c>
      <c r="S84" s="12">
        <f t="shared" si="45"/>
        <v>183</v>
      </c>
      <c r="T84" s="21">
        <f t="shared" si="52"/>
        <v>200</v>
      </c>
      <c r="U84" s="13">
        <v>0</v>
      </c>
      <c r="V84" s="13">
        <f t="shared" si="33"/>
        <v>905.58064516129036</v>
      </c>
      <c r="W84" s="13">
        <f t="shared" si="46"/>
        <v>9546.032258064517</v>
      </c>
      <c r="Y84" s="13">
        <f t="shared" si="53"/>
        <v>9546.032258064517</v>
      </c>
      <c r="Z84" s="12">
        <f t="shared" si="54"/>
        <v>572.66129032258073</v>
      </c>
      <c r="AA84" s="12">
        <f t="shared" si="47"/>
        <v>497</v>
      </c>
      <c r="AB84" s="1">
        <f t="shared" si="55"/>
        <v>0</v>
      </c>
      <c r="AC84" s="16">
        <f t="shared" si="58"/>
        <v>1069.6612903225807</v>
      </c>
      <c r="AD84" s="16">
        <f t="shared" si="48"/>
        <v>11521.274193548388</v>
      </c>
    </row>
    <row r="85" spans="1:30" x14ac:dyDescent="0.2">
      <c r="A85" s="10" t="s">
        <v>852</v>
      </c>
      <c r="B85" s="11">
        <f t="shared" si="56"/>
        <v>69</v>
      </c>
      <c r="C85" s="11" t="s">
        <v>681</v>
      </c>
      <c r="D85" s="11" t="s">
        <v>51</v>
      </c>
      <c r="E85" s="11" t="s">
        <v>658</v>
      </c>
      <c r="F85" s="22">
        <v>42941</v>
      </c>
      <c r="G85" s="11">
        <v>30</v>
      </c>
      <c r="H85" s="13">
        <f t="shared" si="42"/>
        <v>4838.7096774193542</v>
      </c>
      <c r="I85" s="13">
        <f t="shared" si="49"/>
        <v>0</v>
      </c>
      <c r="J85" s="13">
        <f t="shared" si="43"/>
        <v>241.93548387096772</v>
      </c>
      <c r="L85" s="13">
        <f t="shared" si="50"/>
        <v>774.19354838709671</v>
      </c>
      <c r="N85" s="13">
        <f t="shared" si="57"/>
        <v>4784.5161290322576</v>
      </c>
      <c r="O85" s="13">
        <v>0</v>
      </c>
      <c r="Q85" s="13">
        <f t="shared" si="51"/>
        <v>10639.354838709676</v>
      </c>
      <c r="R85" s="12">
        <f t="shared" si="44"/>
        <v>580.64516129032245</v>
      </c>
      <c r="S85" s="12">
        <f t="shared" si="45"/>
        <v>187</v>
      </c>
      <c r="T85" s="21">
        <f t="shared" si="52"/>
        <v>200</v>
      </c>
      <c r="U85" s="13">
        <v>0</v>
      </c>
      <c r="V85" s="13">
        <f t="shared" si="33"/>
        <v>967.64516129032245</v>
      </c>
      <c r="W85" s="13">
        <f t="shared" si="46"/>
        <v>9671.7096774193542</v>
      </c>
      <c r="Y85" s="13">
        <f t="shared" si="53"/>
        <v>9671.7096774193542</v>
      </c>
      <c r="Z85" s="12">
        <f t="shared" si="54"/>
        <v>636.29032258064512</v>
      </c>
      <c r="AA85" s="12">
        <f t="shared" si="47"/>
        <v>506</v>
      </c>
      <c r="AB85" s="1">
        <f t="shared" si="55"/>
        <v>0</v>
      </c>
      <c r="AC85" s="16">
        <f t="shared" si="58"/>
        <v>1142.2903225806451</v>
      </c>
      <c r="AD85" s="16">
        <f t="shared" si="48"/>
        <v>11781.645161290322</v>
      </c>
    </row>
    <row r="86" spans="1:30" x14ac:dyDescent="0.2">
      <c r="A86" s="10" t="s">
        <v>853</v>
      </c>
      <c r="B86" s="11">
        <f t="shared" si="56"/>
        <v>70</v>
      </c>
      <c r="C86" s="11" t="s">
        <v>682</v>
      </c>
      <c r="D86" s="11" t="s">
        <v>51</v>
      </c>
      <c r="E86" s="19" t="s">
        <v>581</v>
      </c>
      <c r="F86" s="22">
        <v>42943</v>
      </c>
      <c r="G86" s="11">
        <v>33</v>
      </c>
      <c r="H86" s="13">
        <f t="shared" si="42"/>
        <v>5322.5806451612898</v>
      </c>
      <c r="I86" s="13">
        <f t="shared" si="49"/>
        <v>0</v>
      </c>
      <c r="J86" s="13">
        <f t="shared" si="43"/>
        <v>266.12903225806451</v>
      </c>
      <c r="L86" s="13">
        <f t="shared" si="50"/>
        <v>851.61290322580635</v>
      </c>
      <c r="N86" s="13">
        <f t="shared" si="57"/>
        <v>5262.967741935483</v>
      </c>
      <c r="O86" s="13">
        <v>0</v>
      </c>
      <c r="Q86" s="13">
        <f t="shared" si="51"/>
        <v>11703.290322580644</v>
      </c>
      <c r="R86" s="12">
        <f t="shared" si="44"/>
        <v>638.70967741935476</v>
      </c>
      <c r="S86" s="12">
        <f t="shared" si="45"/>
        <v>205</v>
      </c>
      <c r="T86" s="21">
        <f t="shared" si="52"/>
        <v>200</v>
      </c>
      <c r="U86" s="13">
        <v>0</v>
      </c>
      <c r="V86" s="13">
        <f t="shared" si="33"/>
        <v>1043.7096774193546</v>
      </c>
      <c r="W86" s="13">
        <f t="shared" si="46"/>
        <v>10659.58064516129</v>
      </c>
      <c r="Y86" s="13">
        <f t="shared" si="53"/>
        <v>10659.58064516129</v>
      </c>
      <c r="Z86" s="12">
        <f t="shared" si="54"/>
        <v>699.91935483870964</v>
      </c>
      <c r="AA86" s="12">
        <f t="shared" si="47"/>
        <v>556</v>
      </c>
      <c r="AB86" s="1">
        <f t="shared" si="55"/>
        <v>0</v>
      </c>
      <c r="AC86" s="16">
        <f t="shared" si="58"/>
        <v>1255.9193548387098</v>
      </c>
      <c r="AD86" s="16">
        <f t="shared" si="48"/>
        <v>12959.209677419354</v>
      </c>
    </row>
    <row r="87" spans="1:30" x14ac:dyDescent="0.2">
      <c r="A87" s="10" t="s">
        <v>854</v>
      </c>
      <c r="B87" s="11">
        <f t="shared" si="56"/>
        <v>71</v>
      </c>
      <c r="C87" s="11" t="s">
        <v>683</v>
      </c>
      <c r="D87" s="11" t="s">
        <v>51</v>
      </c>
      <c r="E87" s="19" t="s">
        <v>701</v>
      </c>
      <c r="F87" s="22">
        <v>42944</v>
      </c>
      <c r="G87" s="11">
        <v>31</v>
      </c>
      <c r="H87" s="13">
        <f t="shared" si="42"/>
        <v>5000</v>
      </c>
      <c r="I87" s="13">
        <f t="shared" si="49"/>
        <v>0</v>
      </c>
      <c r="J87" s="13">
        <f t="shared" si="43"/>
        <v>250</v>
      </c>
      <c r="L87" s="13">
        <f t="shared" si="50"/>
        <v>800</v>
      </c>
      <c r="N87" s="13">
        <f>((1950+1000+0)/G$3)*G87</f>
        <v>2950</v>
      </c>
      <c r="O87" s="13">
        <v>0</v>
      </c>
      <c r="Q87" s="13">
        <f t="shared" si="51"/>
        <v>9000</v>
      </c>
      <c r="R87" s="12">
        <f t="shared" si="44"/>
        <v>600</v>
      </c>
      <c r="S87" s="12">
        <f t="shared" si="45"/>
        <v>158</v>
      </c>
      <c r="T87" s="21">
        <f t="shared" si="52"/>
        <v>175</v>
      </c>
      <c r="U87" s="13">
        <v>0</v>
      </c>
      <c r="V87" s="13">
        <f t="shared" si="33"/>
        <v>933</v>
      </c>
      <c r="W87" s="13">
        <f t="shared" si="46"/>
        <v>8067</v>
      </c>
      <c r="Y87" s="13">
        <f t="shared" si="53"/>
        <v>8067</v>
      </c>
      <c r="Z87" s="12">
        <f t="shared" si="54"/>
        <v>657.5</v>
      </c>
      <c r="AA87" s="12">
        <f t="shared" si="47"/>
        <v>428</v>
      </c>
      <c r="AB87" s="1">
        <f t="shared" si="55"/>
        <v>0</v>
      </c>
      <c r="AC87" s="16">
        <f t="shared" si="58"/>
        <v>1085.5</v>
      </c>
      <c r="AD87" s="16">
        <f t="shared" si="48"/>
        <v>10085.5</v>
      </c>
    </row>
    <row r="88" spans="1:30" x14ac:dyDescent="0.2">
      <c r="A88" s="10" t="s">
        <v>1084</v>
      </c>
      <c r="B88" s="11">
        <f t="shared" si="56"/>
        <v>72</v>
      </c>
      <c r="C88" s="11" t="s">
        <v>996</v>
      </c>
      <c r="D88" s="11" t="s">
        <v>51</v>
      </c>
      <c r="E88" s="19" t="s">
        <v>581</v>
      </c>
      <c r="F88" s="22">
        <v>42951</v>
      </c>
      <c r="G88" s="11">
        <v>34</v>
      </c>
      <c r="H88" s="13">
        <f t="shared" si="42"/>
        <v>5483.8709677419356</v>
      </c>
      <c r="I88" s="13">
        <f t="shared" si="49"/>
        <v>0</v>
      </c>
      <c r="J88" s="13">
        <f t="shared" si="43"/>
        <v>274.19354838709677</v>
      </c>
      <c r="L88" s="13">
        <f t="shared" si="50"/>
        <v>877.41935483870964</v>
      </c>
      <c r="N88" s="13">
        <f t="shared" ref="N88:N96" si="59">((1950+2994)/G$3)*G88</f>
        <v>5422.4516129032254</v>
      </c>
      <c r="O88" s="13">
        <v>0</v>
      </c>
      <c r="Q88" s="13">
        <f t="shared" si="51"/>
        <v>12057.935483870966</v>
      </c>
      <c r="R88" s="12">
        <f t="shared" si="44"/>
        <v>658.0645161290322</v>
      </c>
      <c r="S88" s="12">
        <f t="shared" si="45"/>
        <v>212</v>
      </c>
      <c r="T88" s="21">
        <f t="shared" si="52"/>
        <v>200</v>
      </c>
      <c r="U88" s="13">
        <v>0</v>
      </c>
      <c r="V88" s="13">
        <f t="shared" si="33"/>
        <v>1070.0645161290322</v>
      </c>
      <c r="W88" s="13">
        <f t="shared" si="46"/>
        <v>10987.870967741934</v>
      </c>
      <c r="Y88" s="13">
        <f t="shared" si="53"/>
        <v>10987.870967741934</v>
      </c>
      <c r="Z88" s="12">
        <f t="shared" si="54"/>
        <v>721.12903225806451</v>
      </c>
      <c r="AA88" s="12">
        <f t="shared" si="47"/>
        <v>573</v>
      </c>
      <c r="AB88" s="1">
        <f t="shared" si="55"/>
        <v>0</v>
      </c>
      <c r="AC88" s="16">
        <f t="shared" ref="AC88:AC151" si="60">SUM(Z88:AB88)</f>
        <v>1294.1290322580644</v>
      </c>
      <c r="AD88" s="16">
        <f t="shared" si="48"/>
        <v>13352.06451612903</v>
      </c>
    </row>
    <row r="89" spans="1:30" x14ac:dyDescent="0.2">
      <c r="A89" s="10" t="s">
        <v>1085</v>
      </c>
      <c r="B89" s="11">
        <f t="shared" si="56"/>
        <v>73</v>
      </c>
      <c r="C89" s="11" t="s">
        <v>999</v>
      </c>
      <c r="D89" s="11" t="s">
        <v>51</v>
      </c>
      <c r="E89" s="19" t="s">
        <v>237</v>
      </c>
      <c r="F89" s="22">
        <v>42954</v>
      </c>
      <c r="G89" s="11">
        <v>33</v>
      </c>
      <c r="H89" s="13">
        <f t="shared" si="42"/>
        <v>5322.5806451612898</v>
      </c>
      <c r="I89" s="13">
        <f t="shared" si="49"/>
        <v>0</v>
      </c>
      <c r="J89" s="13">
        <f t="shared" si="43"/>
        <v>266.12903225806451</v>
      </c>
      <c r="L89" s="13">
        <f t="shared" si="50"/>
        <v>851.61290322580635</v>
      </c>
      <c r="N89" s="13">
        <f t="shared" si="59"/>
        <v>5262.967741935483</v>
      </c>
      <c r="O89" s="13">
        <v>0</v>
      </c>
      <c r="Q89" s="13">
        <f t="shared" si="51"/>
        <v>11703.290322580644</v>
      </c>
      <c r="R89" s="12">
        <f t="shared" si="44"/>
        <v>638.70967741935476</v>
      </c>
      <c r="S89" s="12">
        <f t="shared" si="45"/>
        <v>205</v>
      </c>
      <c r="T89" s="21">
        <f t="shared" si="52"/>
        <v>200</v>
      </c>
      <c r="U89" s="13">
        <v>0</v>
      </c>
      <c r="V89" s="13">
        <f t="shared" si="33"/>
        <v>1043.7096774193546</v>
      </c>
      <c r="W89" s="13">
        <f t="shared" si="46"/>
        <v>10659.58064516129</v>
      </c>
      <c r="Y89" s="13">
        <f t="shared" si="53"/>
        <v>10659.58064516129</v>
      </c>
      <c r="Z89" s="12">
        <f t="shared" si="54"/>
        <v>699.91935483870964</v>
      </c>
      <c r="AA89" s="12">
        <f t="shared" si="47"/>
        <v>556</v>
      </c>
      <c r="AB89" s="1">
        <f t="shared" si="55"/>
        <v>0</v>
      </c>
      <c r="AC89" s="16">
        <f t="shared" si="60"/>
        <v>1255.9193548387098</v>
      </c>
      <c r="AD89" s="16">
        <f t="shared" si="48"/>
        <v>12959.209677419354</v>
      </c>
    </row>
    <row r="90" spans="1:30" x14ac:dyDescent="0.2">
      <c r="A90" s="10" t="s">
        <v>1086</v>
      </c>
      <c r="B90" s="11">
        <f t="shared" si="56"/>
        <v>74</v>
      </c>
      <c r="C90" s="11" t="s">
        <v>1000</v>
      </c>
      <c r="D90" s="11" t="s">
        <v>51</v>
      </c>
      <c r="E90" s="19" t="s">
        <v>658</v>
      </c>
      <c r="F90" s="22">
        <v>42956</v>
      </c>
      <c r="G90" s="11">
        <v>28</v>
      </c>
      <c r="H90" s="13">
        <f t="shared" si="42"/>
        <v>4516.1290322580644</v>
      </c>
      <c r="I90" s="13">
        <f t="shared" si="49"/>
        <v>0</v>
      </c>
      <c r="J90" s="13">
        <f t="shared" si="43"/>
        <v>225.80645161290323</v>
      </c>
      <c r="L90" s="13">
        <f t="shared" si="50"/>
        <v>722.58064516129025</v>
      </c>
      <c r="N90" s="13">
        <f t="shared" si="59"/>
        <v>4465.5483870967737</v>
      </c>
      <c r="O90" s="13">
        <v>0</v>
      </c>
      <c r="Q90" s="13">
        <f t="shared" si="51"/>
        <v>9930.0645161290304</v>
      </c>
      <c r="R90" s="12">
        <f t="shared" si="44"/>
        <v>541.93548387096769</v>
      </c>
      <c r="S90" s="12">
        <f t="shared" si="45"/>
        <v>174</v>
      </c>
      <c r="T90" s="21">
        <f t="shared" si="52"/>
        <v>175</v>
      </c>
      <c r="U90" s="13">
        <v>0</v>
      </c>
      <c r="V90" s="13">
        <f t="shared" si="33"/>
        <v>890.93548387096769</v>
      </c>
      <c r="W90" s="13">
        <f t="shared" si="46"/>
        <v>9039.1290322580626</v>
      </c>
      <c r="Y90" s="13">
        <f t="shared" si="53"/>
        <v>9039.1290322580626</v>
      </c>
      <c r="Z90" s="12">
        <f t="shared" si="54"/>
        <v>593.87096774193549</v>
      </c>
      <c r="AA90" s="12">
        <f t="shared" si="47"/>
        <v>472</v>
      </c>
      <c r="AB90" s="1">
        <f t="shared" si="55"/>
        <v>0</v>
      </c>
      <c r="AC90" s="16">
        <f t="shared" si="60"/>
        <v>1065.8709677419356</v>
      </c>
      <c r="AD90" s="16">
        <f t="shared" si="48"/>
        <v>10995.935483870966</v>
      </c>
    </row>
    <row r="91" spans="1:30" x14ac:dyDescent="0.2">
      <c r="A91" s="10" t="s">
        <v>1087</v>
      </c>
      <c r="B91" s="11">
        <f t="shared" si="56"/>
        <v>75</v>
      </c>
      <c r="C91" s="11" t="s">
        <v>1006</v>
      </c>
      <c r="D91" s="11" t="s">
        <v>51</v>
      </c>
      <c r="E91" s="19" t="s">
        <v>581</v>
      </c>
      <c r="F91" s="22">
        <v>42960</v>
      </c>
      <c r="G91" s="11">
        <v>35</v>
      </c>
      <c r="H91" s="13">
        <f t="shared" si="42"/>
        <v>5645.1612903225805</v>
      </c>
      <c r="I91" s="13">
        <f t="shared" si="49"/>
        <v>0</v>
      </c>
      <c r="J91" s="13">
        <f t="shared" si="43"/>
        <v>282.25806451612902</v>
      </c>
      <c r="L91" s="13">
        <f t="shared" si="50"/>
        <v>903.22580645161281</v>
      </c>
      <c r="N91" s="13">
        <f t="shared" si="59"/>
        <v>5581.9354838709669</v>
      </c>
      <c r="O91" s="13">
        <v>0</v>
      </c>
      <c r="Q91" s="13">
        <f t="shared" si="51"/>
        <v>12412.580645161288</v>
      </c>
      <c r="R91" s="12">
        <f t="shared" si="44"/>
        <v>677.41935483870964</v>
      </c>
      <c r="S91" s="12">
        <f t="shared" si="45"/>
        <v>218</v>
      </c>
      <c r="T91" s="21">
        <f t="shared" si="52"/>
        <v>200</v>
      </c>
      <c r="U91" s="13">
        <v>0</v>
      </c>
      <c r="V91" s="13">
        <f t="shared" si="33"/>
        <v>1095.4193548387098</v>
      </c>
      <c r="W91" s="13">
        <f t="shared" si="46"/>
        <v>11317.161290322578</v>
      </c>
      <c r="Y91" s="13">
        <f t="shared" si="53"/>
        <v>11317.161290322578</v>
      </c>
      <c r="Z91" s="12">
        <f t="shared" si="54"/>
        <v>742.33870967741939</v>
      </c>
      <c r="AA91" s="12">
        <f t="shared" si="47"/>
        <v>590</v>
      </c>
      <c r="AB91" s="1">
        <f t="shared" si="55"/>
        <v>0</v>
      </c>
      <c r="AC91" s="16">
        <f t="shared" si="60"/>
        <v>1332.3387096774195</v>
      </c>
      <c r="AD91" s="16">
        <f t="shared" si="48"/>
        <v>13744.919354838708</v>
      </c>
    </row>
    <row r="92" spans="1:30" x14ac:dyDescent="0.2">
      <c r="A92" s="10" t="s">
        <v>1088</v>
      </c>
      <c r="B92" s="11">
        <f t="shared" si="56"/>
        <v>76</v>
      </c>
      <c r="C92" s="11" t="s">
        <v>1010</v>
      </c>
      <c r="D92" s="11" t="s">
        <v>51</v>
      </c>
      <c r="E92" s="19" t="s">
        <v>658</v>
      </c>
      <c r="F92" s="22">
        <v>42961</v>
      </c>
      <c r="G92" s="11">
        <v>5</v>
      </c>
      <c r="H92" s="13">
        <f t="shared" si="42"/>
        <v>806.45161290322574</v>
      </c>
      <c r="I92" s="13">
        <f t="shared" si="49"/>
        <v>0</v>
      </c>
      <c r="J92" s="13">
        <f t="shared" si="43"/>
        <v>40.322580645161288</v>
      </c>
      <c r="L92" s="13">
        <f t="shared" si="50"/>
        <v>129.03225806451613</v>
      </c>
      <c r="N92" s="13">
        <f t="shared" si="59"/>
        <v>797.41935483870964</v>
      </c>
      <c r="O92" s="13">
        <v>0</v>
      </c>
      <c r="Q92" s="13">
        <f t="shared" si="51"/>
        <v>1773.2258064516127</v>
      </c>
      <c r="R92" s="12">
        <f t="shared" si="44"/>
        <v>96.774193548387089</v>
      </c>
      <c r="S92" s="12">
        <f t="shared" si="45"/>
        <v>32</v>
      </c>
      <c r="T92" s="21">
        <f t="shared" si="52"/>
        <v>0</v>
      </c>
      <c r="U92" s="13">
        <v>0</v>
      </c>
      <c r="V92" s="13">
        <f t="shared" si="33"/>
        <v>128.77419354838707</v>
      </c>
      <c r="W92" s="13">
        <f t="shared" si="46"/>
        <v>1644.4516129032256</v>
      </c>
      <c r="Y92" s="13">
        <f t="shared" si="53"/>
        <v>1644.4516129032256</v>
      </c>
      <c r="Z92" s="12">
        <f t="shared" si="54"/>
        <v>106.04838709677419</v>
      </c>
      <c r="AA92" s="12">
        <f t="shared" si="47"/>
        <v>85</v>
      </c>
      <c r="AB92" s="1">
        <f t="shared" si="55"/>
        <v>0</v>
      </c>
      <c r="AC92" s="16">
        <f t="shared" si="60"/>
        <v>191.04838709677421</v>
      </c>
      <c r="AD92" s="16">
        <f t="shared" si="48"/>
        <v>1964.2741935483868</v>
      </c>
    </row>
    <row r="93" spans="1:30" x14ac:dyDescent="0.2">
      <c r="A93" s="10" t="s">
        <v>1089</v>
      </c>
      <c r="B93" s="11">
        <f t="shared" si="56"/>
        <v>77</v>
      </c>
      <c r="C93" s="11" t="s">
        <v>1012</v>
      </c>
      <c r="D93" s="11" t="s">
        <v>51</v>
      </c>
      <c r="E93" s="19" t="s">
        <v>236</v>
      </c>
      <c r="F93" s="22">
        <v>42967</v>
      </c>
      <c r="G93" s="11">
        <v>31</v>
      </c>
      <c r="H93" s="13">
        <f t="shared" si="42"/>
        <v>5000</v>
      </c>
      <c r="I93" s="13">
        <f t="shared" si="49"/>
        <v>0</v>
      </c>
      <c r="J93" s="13">
        <f t="shared" si="43"/>
        <v>250</v>
      </c>
      <c r="L93" s="13">
        <f t="shared" si="50"/>
        <v>800</v>
      </c>
      <c r="N93" s="13">
        <f>((1950+2000)/G$3)*G93</f>
        <v>3950</v>
      </c>
      <c r="O93" s="13">
        <v>0</v>
      </c>
      <c r="Q93" s="13">
        <f t="shared" si="51"/>
        <v>10000</v>
      </c>
      <c r="R93" s="12">
        <f t="shared" si="44"/>
        <v>600</v>
      </c>
      <c r="S93" s="12">
        <f t="shared" si="45"/>
        <v>175</v>
      </c>
      <c r="T93" s="21">
        <f t="shared" si="52"/>
        <v>200</v>
      </c>
      <c r="U93" s="13">
        <v>0</v>
      </c>
      <c r="V93" s="13">
        <f t="shared" si="33"/>
        <v>975</v>
      </c>
      <c r="W93" s="13">
        <f t="shared" si="46"/>
        <v>9025</v>
      </c>
      <c r="Y93" s="13">
        <f t="shared" si="53"/>
        <v>9025</v>
      </c>
      <c r="Z93" s="12">
        <f t="shared" si="54"/>
        <v>657.5</v>
      </c>
      <c r="AA93" s="12">
        <f t="shared" si="47"/>
        <v>475</v>
      </c>
      <c r="AB93" s="1">
        <f t="shared" si="55"/>
        <v>0</v>
      </c>
      <c r="AC93" s="16">
        <f t="shared" si="60"/>
        <v>1132.5</v>
      </c>
      <c r="AD93" s="16">
        <f t="shared" si="48"/>
        <v>11132.5</v>
      </c>
    </row>
    <row r="94" spans="1:30" hidden="1" x14ac:dyDescent="0.2">
      <c r="A94" s="10" t="s">
        <v>1090</v>
      </c>
      <c r="C94" s="11" t="s">
        <v>1014</v>
      </c>
      <c r="D94" s="11" t="s">
        <v>51</v>
      </c>
      <c r="E94" s="19" t="s">
        <v>658</v>
      </c>
      <c r="F94" s="22">
        <v>42969</v>
      </c>
      <c r="H94" s="13">
        <f t="shared" si="42"/>
        <v>0</v>
      </c>
      <c r="I94" s="13">
        <f t="shared" si="49"/>
        <v>0</v>
      </c>
      <c r="J94" s="13">
        <f t="shared" si="43"/>
        <v>0</v>
      </c>
      <c r="L94" s="13">
        <f t="shared" si="50"/>
        <v>0</v>
      </c>
      <c r="N94" s="13">
        <f t="shared" si="59"/>
        <v>0</v>
      </c>
      <c r="O94" s="13">
        <v>0</v>
      </c>
      <c r="Q94" s="13">
        <f t="shared" si="51"/>
        <v>0</v>
      </c>
      <c r="R94" s="12">
        <f t="shared" si="44"/>
        <v>0</v>
      </c>
      <c r="S94" s="12">
        <f t="shared" si="45"/>
        <v>0</v>
      </c>
      <c r="T94" s="21">
        <f t="shared" si="52"/>
        <v>0</v>
      </c>
      <c r="U94" s="13">
        <v>0</v>
      </c>
      <c r="V94" s="13">
        <f t="shared" ref="V94:V96" si="61">SUM(R94:U94)</f>
        <v>0</v>
      </c>
      <c r="W94" s="13">
        <f t="shared" si="46"/>
        <v>0</v>
      </c>
      <c r="Y94" s="13">
        <f t="shared" si="53"/>
        <v>0</v>
      </c>
      <c r="Z94" s="12">
        <f t="shared" si="54"/>
        <v>0</v>
      </c>
      <c r="AA94" s="12">
        <f t="shared" si="47"/>
        <v>0</v>
      </c>
      <c r="AB94" s="1">
        <f t="shared" si="55"/>
        <v>0</v>
      </c>
      <c r="AC94" s="16">
        <f t="shared" si="60"/>
        <v>0</v>
      </c>
      <c r="AD94" s="16">
        <f t="shared" si="48"/>
        <v>0</v>
      </c>
    </row>
    <row r="95" spans="1:30" hidden="1" x14ac:dyDescent="0.2">
      <c r="A95" s="10" t="s">
        <v>1091</v>
      </c>
      <c r="C95" s="11" t="s">
        <v>1015</v>
      </c>
      <c r="D95" s="11" t="s">
        <v>51</v>
      </c>
      <c r="E95" s="19" t="s">
        <v>232</v>
      </c>
      <c r="F95" s="22">
        <v>42970</v>
      </c>
      <c r="H95" s="13">
        <f t="shared" si="42"/>
        <v>0</v>
      </c>
      <c r="I95" s="13">
        <f t="shared" si="49"/>
        <v>0</v>
      </c>
      <c r="J95" s="13">
        <f t="shared" si="43"/>
        <v>0</v>
      </c>
      <c r="L95" s="13">
        <f t="shared" si="50"/>
        <v>0</v>
      </c>
      <c r="N95" s="13">
        <f t="shared" si="59"/>
        <v>0</v>
      </c>
      <c r="O95" s="13">
        <v>0</v>
      </c>
      <c r="Q95" s="13">
        <f t="shared" si="51"/>
        <v>0</v>
      </c>
      <c r="R95" s="12">
        <f t="shared" si="44"/>
        <v>0</v>
      </c>
      <c r="S95" s="12">
        <f t="shared" si="45"/>
        <v>0</v>
      </c>
      <c r="T95" s="21">
        <f t="shared" si="52"/>
        <v>0</v>
      </c>
      <c r="U95" s="13">
        <v>0</v>
      </c>
      <c r="V95" s="13">
        <f t="shared" si="61"/>
        <v>0</v>
      </c>
      <c r="W95" s="13">
        <f t="shared" si="46"/>
        <v>0</v>
      </c>
      <c r="Y95" s="13">
        <f t="shared" si="53"/>
        <v>0</v>
      </c>
      <c r="Z95" s="12">
        <f t="shared" si="54"/>
        <v>0</v>
      </c>
      <c r="AA95" s="12">
        <f t="shared" si="47"/>
        <v>0</v>
      </c>
      <c r="AB95" s="1">
        <f t="shared" si="55"/>
        <v>0</v>
      </c>
      <c r="AC95" s="16">
        <f t="shared" si="60"/>
        <v>0</v>
      </c>
      <c r="AD95" s="16">
        <f t="shared" si="48"/>
        <v>0</v>
      </c>
    </row>
    <row r="96" spans="1:30" x14ac:dyDescent="0.2">
      <c r="A96" s="10" t="s">
        <v>1092</v>
      </c>
      <c r="B96" s="11">
        <v>78</v>
      </c>
      <c r="C96" s="11" t="s">
        <v>1023</v>
      </c>
      <c r="D96" s="11" t="s">
        <v>51</v>
      </c>
      <c r="E96" s="19" t="s">
        <v>658</v>
      </c>
      <c r="F96" s="22" t="s">
        <v>1025</v>
      </c>
      <c r="G96" s="11">
        <v>3</v>
      </c>
      <c r="H96" s="13">
        <f t="shared" si="42"/>
        <v>483.87096774193549</v>
      </c>
      <c r="I96" s="13">
        <f t="shared" si="49"/>
        <v>0</v>
      </c>
      <c r="J96" s="13">
        <f t="shared" si="43"/>
        <v>24.193548387096776</v>
      </c>
      <c r="L96" s="13">
        <f t="shared" si="50"/>
        <v>77.419354838709666</v>
      </c>
      <c r="N96" s="13">
        <f t="shared" si="59"/>
        <v>478.45161290322574</v>
      </c>
      <c r="O96" s="13">
        <v>0</v>
      </c>
      <c r="Q96" s="13">
        <f t="shared" si="51"/>
        <v>1063.9354838709678</v>
      </c>
      <c r="R96" s="12">
        <f t="shared" si="44"/>
        <v>58.064516129032256</v>
      </c>
      <c r="S96" s="12">
        <f t="shared" si="45"/>
        <v>19</v>
      </c>
      <c r="T96" s="21">
        <f t="shared" si="52"/>
        <v>0</v>
      </c>
      <c r="U96" s="13">
        <v>0</v>
      </c>
      <c r="V96" s="13">
        <f t="shared" si="61"/>
        <v>77.064516129032256</v>
      </c>
      <c r="W96" s="13">
        <f t="shared" si="46"/>
        <v>986.8709677419356</v>
      </c>
      <c r="Y96" s="13">
        <f t="shared" si="53"/>
        <v>986.8709677419356</v>
      </c>
      <c r="Z96" s="12">
        <f t="shared" si="54"/>
        <v>63.62903225806452</v>
      </c>
      <c r="AA96" s="12">
        <f t="shared" si="47"/>
        <v>51</v>
      </c>
      <c r="AB96" s="1">
        <f t="shared" si="55"/>
        <v>0</v>
      </c>
      <c r="AC96" s="16">
        <f t="shared" si="60"/>
        <v>114.62903225806451</v>
      </c>
      <c r="AD96" s="16">
        <f t="shared" si="48"/>
        <v>1178.5645161290322</v>
      </c>
    </row>
    <row r="97" spans="1:30" x14ac:dyDescent="0.2">
      <c r="A97" s="10" t="s">
        <v>1270</v>
      </c>
      <c r="B97" s="11">
        <f t="shared" si="56"/>
        <v>79</v>
      </c>
      <c r="C97" s="11" t="s">
        <v>1135</v>
      </c>
      <c r="D97" s="11" t="s">
        <v>51</v>
      </c>
      <c r="E97" s="19" t="s">
        <v>236</v>
      </c>
      <c r="F97" s="22">
        <v>42979</v>
      </c>
      <c r="G97" s="11">
        <v>36</v>
      </c>
      <c r="H97" s="13">
        <f t="shared" si="42"/>
        <v>5806.4516129032254</v>
      </c>
      <c r="I97" s="13">
        <f t="shared" si="49"/>
        <v>0</v>
      </c>
      <c r="J97" s="13">
        <f t="shared" si="43"/>
        <v>290.32258064516128</v>
      </c>
      <c r="L97" s="13">
        <f t="shared" si="50"/>
        <v>929.0322580645161</v>
      </c>
      <c r="N97" s="13">
        <f>((1950+1000+0)/G$3)*G97</f>
        <v>3425.8064516129029</v>
      </c>
      <c r="O97" s="13">
        <v>0</v>
      </c>
      <c r="Q97" s="13">
        <f t="shared" si="51"/>
        <v>10451.612903225805</v>
      </c>
      <c r="R97" s="12">
        <f t="shared" si="44"/>
        <v>696.77419354838707</v>
      </c>
      <c r="S97" s="12">
        <f t="shared" si="45"/>
        <v>183</v>
      </c>
      <c r="T97" s="21">
        <f t="shared" si="52"/>
        <v>200</v>
      </c>
      <c r="U97" s="13">
        <v>0</v>
      </c>
      <c r="V97" s="13">
        <f t="shared" ref="V97:V122" si="62">SUM(R97:U97)</f>
        <v>1079.7741935483871</v>
      </c>
      <c r="W97" s="13">
        <f t="shared" si="46"/>
        <v>9371.8387096774186</v>
      </c>
      <c r="Y97" s="13">
        <f t="shared" si="53"/>
        <v>9371.8387096774186</v>
      </c>
      <c r="Z97" s="12">
        <f t="shared" si="54"/>
        <v>763.54838709677415</v>
      </c>
      <c r="AA97" s="12">
        <f t="shared" si="47"/>
        <v>497</v>
      </c>
      <c r="AB97" s="1">
        <f t="shared" si="55"/>
        <v>0</v>
      </c>
      <c r="AC97" s="16">
        <f t="shared" si="60"/>
        <v>1260.5483870967741</v>
      </c>
      <c r="AD97" s="16">
        <f t="shared" si="48"/>
        <v>11712.16129032258</v>
      </c>
    </row>
    <row r="98" spans="1:30" x14ac:dyDescent="0.2">
      <c r="A98" s="10" t="s">
        <v>1271</v>
      </c>
      <c r="B98" s="11">
        <f t="shared" si="56"/>
        <v>80</v>
      </c>
      <c r="C98" s="11" t="s">
        <v>1136</v>
      </c>
      <c r="D98" s="11" t="s">
        <v>51</v>
      </c>
      <c r="E98" s="19" t="s">
        <v>236</v>
      </c>
      <c r="F98" s="22">
        <v>42979</v>
      </c>
      <c r="G98" s="11">
        <v>32</v>
      </c>
      <c r="H98" s="13">
        <f t="shared" si="42"/>
        <v>5161.2903225806449</v>
      </c>
      <c r="I98" s="13">
        <f t="shared" si="49"/>
        <v>0</v>
      </c>
      <c r="J98" s="13">
        <f t="shared" si="43"/>
        <v>258.06451612903226</v>
      </c>
      <c r="L98" s="13">
        <f t="shared" si="50"/>
        <v>825.80645161290317</v>
      </c>
      <c r="N98" s="13">
        <f>((1950+1000+0)/G$3)*G98</f>
        <v>3045.1612903225805</v>
      </c>
      <c r="O98" s="13">
        <v>0</v>
      </c>
      <c r="Q98" s="13">
        <f t="shared" si="51"/>
        <v>9290.322580645161</v>
      </c>
      <c r="R98" s="12">
        <f t="shared" si="44"/>
        <v>619.35483870967732</v>
      </c>
      <c r="S98" s="12">
        <f t="shared" si="45"/>
        <v>163</v>
      </c>
      <c r="T98" s="21">
        <v>0</v>
      </c>
      <c r="U98" s="13">
        <v>0</v>
      </c>
      <c r="V98" s="13">
        <f t="shared" si="62"/>
        <v>782.35483870967732</v>
      </c>
      <c r="W98" s="13">
        <f t="shared" si="46"/>
        <v>8507.967741935483</v>
      </c>
      <c r="Y98" s="13">
        <f t="shared" si="53"/>
        <v>8507.967741935483</v>
      </c>
      <c r="Z98" s="12">
        <f t="shared" si="54"/>
        <v>678.70967741935488</v>
      </c>
      <c r="AA98" s="12">
        <f t="shared" si="47"/>
        <v>442</v>
      </c>
      <c r="AB98" s="1">
        <f t="shared" si="55"/>
        <v>0</v>
      </c>
      <c r="AC98" s="16">
        <f t="shared" si="60"/>
        <v>1120.7096774193549</v>
      </c>
      <c r="AD98" s="16">
        <f t="shared" si="48"/>
        <v>10411.032258064515</v>
      </c>
    </row>
    <row r="99" spans="1:30" hidden="1" x14ac:dyDescent="0.2">
      <c r="A99" s="10"/>
      <c r="C99" s="11" t="s">
        <v>1137</v>
      </c>
      <c r="D99" s="11" t="s">
        <v>51</v>
      </c>
      <c r="E99" s="19" t="s">
        <v>658</v>
      </c>
      <c r="F99" s="22">
        <v>42981</v>
      </c>
      <c r="H99" s="13">
        <f t="shared" si="42"/>
        <v>0</v>
      </c>
      <c r="I99" s="13">
        <f t="shared" si="49"/>
        <v>0</v>
      </c>
      <c r="J99" s="13">
        <f t="shared" si="43"/>
        <v>0</v>
      </c>
      <c r="L99" s="13">
        <f t="shared" si="50"/>
        <v>0</v>
      </c>
      <c r="N99" s="13">
        <f>((1950+2000+994)/G$3)*G99</f>
        <v>0</v>
      </c>
      <c r="O99" s="13">
        <v>0</v>
      </c>
      <c r="Q99" s="13">
        <f t="shared" si="51"/>
        <v>0</v>
      </c>
      <c r="R99" s="12">
        <f t="shared" si="44"/>
        <v>0</v>
      </c>
      <c r="S99" s="12">
        <f t="shared" si="45"/>
        <v>0</v>
      </c>
      <c r="T99" s="21">
        <f t="shared" ref="T99:T162" si="63">+IF(Q99&lt;2501,0,IF((Q99&gt;2501)*(Q99&lt;3500),0,IF((Q99&gt;3501)*(Q99&lt;7500),0,IF((Q99&gt;7501)*(Q99&lt;10000),175,200))))</f>
        <v>0</v>
      </c>
      <c r="U99" s="13">
        <v>0</v>
      </c>
      <c r="V99" s="13">
        <f t="shared" si="62"/>
        <v>0</v>
      </c>
      <c r="W99" s="13">
        <f t="shared" si="46"/>
        <v>0</v>
      </c>
      <c r="Y99" s="13">
        <f t="shared" si="53"/>
        <v>0</v>
      </c>
      <c r="Z99" s="12">
        <f t="shared" si="54"/>
        <v>0</v>
      </c>
      <c r="AA99" s="12">
        <f t="shared" si="47"/>
        <v>0</v>
      </c>
      <c r="AB99" s="1">
        <f t="shared" si="55"/>
        <v>0</v>
      </c>
      <c r="AC99" s="16">
        <f t="shared" si="60"/>
        <v>0</v>
      </c>
      <c r="AD99" s="16">
        <f t="shared" si="48"/>
        <v>0</v>
      </c>
    </row>
    <row r="100" spans="1:30" x14ac:dyDescent="0.2">
      <c r="A100" s="10" t="s">
        <v>1272</v>
      </c>
      <c r="B100" s="11">
        <v>81</v>
      </c>
      <c r="C100" s="11" t="s">
        <v>1138</v>
      </c>
      <c r="D100" s="11" t="s">
        <v>51</v>
      </c>
      <c r="E100" s="19" t="s">
        <v>1161</v>
      </c>
      <c r="F100" s="22">
        <v>42982</v>
      </c>
      <c r="G100" s="11">
        <v>13</v>
      </c>
      <c r="H100" s="13">
        <f t="shared" si="42"/>
        <v>2096.7741935483868</v>
      </c>
      <c r="I100" s="13">
        <f t="shared" si="49"/>
        <v>0</v>
      </c>
      <c r="J100" s="13">
        <f t="shared" si="43"/>
        <v>104.83870967741935</v>
      </c>
      <c r="L100" s="13">
        <f t="shared" si="50"/>
        <v>335.48387096774189</v>
      </c>
      <c r="N100" s="13">
        <f>((1950+7000+0)/G$3)*G100</f>
        <v>3753.2258064516127</v>
      </c>
      <c r="O100" s="13">
        <v>0</v>
      </c>
      <c r="Q100" s="13">
        <f t="shared" si="51"/>
        <v>6290.322580645161</v>
      </c>
      <c r="R100" s="12">
        <f t="shared" si="44"/>
        <v>251.61290322580641</v>
      </c>
      <c r="S100" s="12">
        <f t="shared" si="45"/>
        <v>111</v>
      </c>
      <c r="T100" s="21">
        <f t="shared" si="63"/>
        <v>0</v>
      </c>
      <c r="U100" s="13">
        <v>0</v>
      </c>
      <c r="V100" s="13">
        <f t="shared" si="62"/>
        <v>362.61290322580641</v>
      </c>
      <c r="W100" s="13">
        <f t="shared" si="46"/>
        <v>5927.7096774193542</v>
      </c>
      <c r="Y100" s="13">
        <f t="shared" si="53"/>
        <v>5927.7096774193542</v>
      </c>
      <c r="Z100" s="12">
        <f t="shared" si="54"/>
        <v>275.72580645161287</v>
      </c>
      <c r="AA100" s="12">
        <f t="shared" si="47"/>
        <v>299</v>
      </c>
      <c r="AB100" s="1">
        <f t="shared" si="55"/>
        <v>0</v>
      </c>
      <c r="AC100" s="16">
        <f t="shared" si="60"/>
        <v>574.72580645161293</v>
      </c>
      <c r="AD100" s="16">
        <f t="shared" si="48"/>
        <v>6865.0483870967737</v>
      </c>
    </row>
    <row r="101" spans="1:30" hidden="1" x14ac:dyDescent="0.2">
      <c r="A101" s="10"/>
      <c r="C101" s="11" t="s">
        <v>1139</v>
      </c>
      <c r="D101" s="11" t="s">
        <v>51</v>
      </c>
      <c r="E101" s="19" t="s">
        <v>658</v>
      </c>
      <c r="F101" s="22">
        <v>42983</v>
      </c>
      <c r="H101" s="13">
        <f t="shared" si="42"/>
        <v>0</v>
      </c>
      <c r="I101" s="13">
        <f t="shared" si="49"/>
        <v>0</v>
      </c>
      <c r="J101" s="13">
        <f t="shared" si="43"/>
        <v>0</v>
      </c>
      <c r="L101" s="13">
        <f t="shared" si="50"/>
        <v>0</v>
      </c>
      <c r="N101" s="13">
        <f t="shared" ref="N101:N119" si="64">((1950+2000+994)/G$3)*G101</f>
        <v>0</v>
      </c>
      <c r="O101" s="13">
        <v>0</v>
      </c>
      <c r="Q101" s="13">
        <f t="shared" si="51"/>
        <v>0</v>
      </c>
      <c r="R101" s="12">
        <f t="shared" si="44"/>
        <v>0</v>
      </c>
      <c r="S101" s="12">
        <f t="shared" si="45"/>
        <v>0</v>
      </c>
      <c r="T101" s="21">
        <f t="shared" si="63"/>
        <v>0</v>
      </c>
      <c r="U101" s="13">
        <v>0</v>
      </c>
      <c r="V101" s="13">
        <f t="shared" si="62"/>
        <v>0</v>
      </c>
      <c r="W101" s="13">
        <f t="shared" si="46"/>
        <v>0</v>
      </c>
      <c r="Y101" s="13">
        <f t="shared" si="53"/>
        <v>0</v>
      </c>
      <c r="Z101" s="12">
        <f t="shared" si="54"/>
        <v>0</v>
      </c>
      <c r="AA101" s="12">
        <f t="shared" si="47"/>
        <v>0</v>
      </c>
      <c r="AB101" s="1">
        <f t="shared" si="55"/>
        <v>0</v>
      </c>
      <c r="AC101" s="16">
        <f t="shared" si="60"/>
        <v>0</v>
      </c>
      <c r="AD101" s="16">
        <f t="shared" si="48"/>
        <v>0</v>
      </c>
    </row>
    <row r="102" spans="1:30" x14ac:dyDescent="0.2">
      <c r="A102" s="10" t="s">
        <v>1273</v>
      </c>
      <c r="B102" s="11">
        <v>82</v>
      </c>
      <c r="C102" s="11" t="s">
        <v>1140</v>
      </c>
      <c r="D102" s="11" t="s">
        <v>51</v>
      </c>
      <c r="E102" s="19" t="s">
        <v>658</v>
      </c>
      <c r="F102" s="22">
        <v>42983</v>
      </c>
      <c r="G102" s="11">
        <v>5</v>
      </c>
      <c r="H102" s="13">
        <f t="shared" si="42"/>
        <v>806.45161290322574</v>
      </c>
      <c r="I102" s="13">
        <f t="shared" si="49"/>
        <v>0</v>
      </c>
      <c r="J102" s="13">
        <f t="shared" si="43"/>
        <v>40.322580645161288</v>
      </c>
      <c r="L102" s="13">
        <f t="shared" si="50"/>
        <v>129.03225806451613</v>
      </c>
      <c r="N102" s="13">
        <f t="shared" si="64"/>
        <v>797.41935483870964</v>
      </c>
      <c r="O102" s="13">
        <v>0</v>
      </c>
      <c r="Q102" s="13">
        <f t="shared" si="51"/>
        <v>1773.2258064516127</v>
      </c>
      <c r="R102" s="12">
        <f t="shared" si="44"/>
        <v>96.774193548387089</v>
      </c>
      <c r="S102" s="12">
        <f t="shared" si="45"/>
        <v>32</v>
      </c>
      <c r="T102" s="21">
        <f t="shared" si="63"/>
        <v>0</v>
      </c>
      <c r="U102" s="13">
        <v>0</v>
      </c>
      <c r="V102" s="13">
        <f t="shared" si="62"/>
        <v>128.77419354838707</v>
      </c>
      <c r="W102" s="13">
        <f t="shared" si="46"/>
        <v>1644.4516129032256</v>
      </c>
      <c r="Y102" s="13">
        <f t="shared" si="53"/>
        <v>1644.4516129032256</v>
      </c>
      <c r="Z102" s="12">
        <f t="shared" si="54"/>
        <v>106.04838709677419</v>
      </c>
      <c r="AA102" s="12">
        <f t="shared" si="47"/>
        <v>85</v>
      </c>
      <c r="AB102" s="1">
        <f t="shared" si="55"/>
        <v>0</v>
      </c>
      <c r="AC102" s="16">
        <f t="shared" si="60"/>
        <v>191.04838709677421</v>
      </c>
      <c r="AD102" s="16">
        <f t="shared" si="48"/>
        <v>1964.2741935483868</v>
      </c>
    </row>
    <row r="103" spans="1:30" x14ac:dyDescent="0.2">
      <c r="A103" s="10" t="s">
        <v>1274</v>
      </c>
      <c r="B103" s="11">
        <f t="shared" si="56"/>
        <v>83</v>
      </c>
      <c r="C103" s="11" t="s">
        <v>1141</v>
      </c>
      <c r="D103" s="11" t="s">
        <v>51</v>
      </c>
      <c r="E103" s="19" t="s">
        <v>658</v>
      </c>
      <c r="F103" s="22">
        <v>42983</v>
      </c>
      <c r="G103" s="11">
        <v>10</v>
      </c>
      <c r="H103" s="13">
        <f t="shared" si="42"/>
        <v>1612.9032258064515</v>
      </c>
      <c r="I103" s="13">
        <f t="shared" si="49"/>
        <v>0</v>
      </c>
      <c r="J103" s="13">
        <f t="shared" si="43"/>
        <v>80.645161290322577</v>
      </c>
      <c r="L103" s="13">
        <f t="shared" si="50"/>
        <v>258.06451612903226</v>
      </c>
      <c r="N103" s="13">
        <f t="shared" si="64"/>
        <v>1594.8387096774193</v>
      </c>
      <c r="O103" s="13">
        <v>0</v>
      </c>
      <c r="Q103" s="13">
        <f t="shared" si="51"/>
        <v>3546.4516129032254</v>
      </c>
      <c r="R103" s="12">
        <f t="shared" si="44"/>
        <v>193.54838709677418</v>
      </c>
      <c r="S103" s="12">
        <f t="shared" si="45"/>
        <v>63</v>
      </c>
      <c r="T103" s="21">
        <f t="shared" si="63"/>
        <v>0</v>
      </c>
      <c r="U103" s="13">
        <v>0</v>
      </c>
      <c r="V103" s="13">
        <f t="shared" si="62"/>
        <v>256.54838709677415</v>
      </c>
      <c r="W103" s="13">
        <f t="shared" si="46"/>
        <v>3289.9032258064512</v>
      </c>
      <c r="Y103" s="13">
        <f t="shared" si="53"/>
        <v>3289.9032258064512</v>
      </c>
      <c r="Z103" s="12">
        <f t="shared" si="54"/>
        <v>212.09677419354838</v>
      </c>
      <c r="AA103" s="12">
        <f t="shared" si="47"/>
        <v>169</v>
      </c>
      <c r="AB103" s="1">
        <f t="shared" si="55"/>
        <v>0</v>
      </c>
      <c r="AC103" s="16">
        <f t="shared" si="60"/>
        <v>381.09677419354841</v>
      </c>
      <c r="AD103" s="16">
        <f t="shared" si="48"/>
        <v>3927.5483870967737</v>
      </c>
    </row>
    <row r="104" spans="1:30" hidden="1" x14ac:dyDescent="0.2">
      <c r="A104" s="10"/>
      <c r="C104" s="11" t="s">
        <v>1142</v>
      </c>
      <c r="D104" s="11" t="s">
        <v>51</v>
      </c>
      <c r="E104" s="19" t="s">
        <v>658</v>
      </c>
      <c r="F104" s="22">
        <v>42983</v>
      </c>
      <c r="H104" s="13">
        <f t="shared" si="42"/>
        <v>0</v>
      </c>
      <c r="I104" s="13">
        <f t="shared" si="49"/>
        <v>0</v>
      </c>
      <c r="J104" s="13">
        <f t="shared" si="43"/>
        <v>0</v>
      </c>
      <c r="L104" s="13">
        <f t="shared" si="50"/>
        <v>0</v>
      </c>
      <c r="N104" s="13">
        <f t="shared" si="64"/>
        <v>0</v>
      </c>
      <c r="O104" s="13">
        <v>0</v>
      </c>
      <c r="Q104" s="13">
        <f t="shared" si="51"/>
        <v>0</v>
      </c>
      <c r="R104" s="12">
        <f t="shared" si="44"/>
        <v>0</v>
      </c>
      <c r="S104" s="12">
        <f t="shared" si="45"/>
        <v>0</v>
      </c>
      <c r="T104" s="21">
        <f t="shared" si="63"/>
        <v>0</v>
      </c>
      <c r="U104" s="13">
        <v>0</v>
      </c>
      <c r="V104" s="13">
        <f t="shared" si="62"/>
        <v>0</v>
      </c>
      <c r="W104" s="13">
        <f t="shared" si="46"/>
        <v>0</v>
      </c>
      <c r="Y104" s="13">
        <f t="shared" si="53"/>
        <v>0</v>
      </c>
      <c r="Z104" s="12">
        <f t="shared" si="54"/>
        <v>0</v>
      </c>
      <c r="AA104" s="12">
        <f t="shared" si="47"/>
        <v>0</v>
      </c>
      <c r="AB104" s="1">
        <f t="shared" si="55"/>
        <v>0</v>
      </c>
      <c r="AC104" s="16">
        <f t="shared" si="60"/>
        <v>0</v>
      </c>
      <c r="AD104" s="16">
        <f t="shared" si="48"/>
        <v>0</v>
      </c>
    </row>
    <row r="105" spans="1:30" hidden="1" x14ac:dyDescent="0.2">
      <c r="A105" s="10"/>
      <c r="C105" s="11" t="s">
        <v>1143</v>
      </c>
      <c r="D105" s="11" t="s">
        <v>51</v>
      </c>
      <c r="E105" s="19" t="s">
        <v>658</v>
      </c>
      <c r="F105" s="22">
        <v>42984</v>
      </c>
      <c r="H105" s="13">
        <f t="shared" si="42"/>
        <v>0</v>
      </c>
      <c r="I105" s="13">
        <f t="shared" si="49"/>
        <v>0</v>
      </c>
      <c r="J105" s="13">
        <f t="shared" si="43"/>
        <v>0</v>
      </c>
      <c r="L105" s="13">
        <f t="shared" si="50"/>
        <v>0</v>
      </c>
      <c r="N105" s="13">
        <f t="shared" si="64"/>
        <v>0</v>
      </c>
      <c r="O105" s="13">
        <v>0</v>
      </c>
      <c r="Q105" s="13">
        <f t="shared" si="51"/>
        <v>0</v>
      </c>
      <c r="R105" s="12">
        <f t="shared" si="44"/>
        <v>0</v>
      </c>
      <c r="S105" s="12">
        <f t="shared" si="45"/>
        <v>0</v>
      </c>
      <c r="T105" s="21">
        <f t="shared" si="63"/>
        <v>0</v>
      </c>
      <c r="U105" s="13">
        <v>0</v>
      </c>
      <c r="V105" s="13">
        <f t="shared" si="62"/>
        <v>0</v>
      </c>
      <c r="W105" s="13">
        <f t="shared" si="46"/>
        <v>0</v>
      </c>
      <c r="Y105" s="13">
        <f t="shared" si="53"/>
        <v>0</v>
      </c>
      <c r="Z105" s="12">
        <f t="shared" si="54"/>
        <v>0</v>
      </c>
      <c r="AA105" s="12">
        <f t="shared" si="47"/>
        <v>0</v>
      </c>
      <c r="AB105" s="1">
        <f t="shared" si="55"/>
        <v>0</v>
      </c>
      <c r="AC105" s="16">
        <f t="shared" si="60"/>
        <v>0</v>
      </c>
      <c r="AD105" s="16">
        <f t="shared" si="48"/>
        <v>0</v>
      </c>
    </row>
    <row r="106" spans="1:30" x14ac:dyDescent="0.2">
      <c r="A106" s="10" t="s">
        <v>1275</v>
      </c>
      <c r="B106" s="11">
        <v>84</v>
      </c>
      <c r="C106" s="11" t="s">
        <v>1144</v>
      </c>
      <c r="D106" s="11" t="s">
        <v>51</v>
      </c>
      <c r="E106" s="19" t="s">
        <v>658</v>
      </c>
      <c r="F106" s="22">
        <v>42984</v>
      </c>
      <c r="G106" s="11">
        <v>24</v>
      </c>
      <c r="H106" s="13">
        <f t="shared" si="42"/>
        <v>3870.9677419354839</v>
      </c>
      <c r="I106" s="13">
        <f t="shared" si="49"/>
        <v>0</v>
      </c>
      <c r="J106" s="13">
        <f t="shared" si="43"/>
        <v>193.54838709677421</v>
      </c>
      <c r="L106" s="13">
        <f t="shared" si="50"/>
        <v>619.35483870967732</v>
      </c>
      <c r="N106" s="13">
        <f t="shared" si="64"/>
        <v>3827.6129032258059</v>
      </c>
      <c r="O106" s="13">
        <v>0</v>
      </c>
      <c r="Q106" s="13">
        <f t="shared" si="51"/>
        <v>8511.4838709677424</v>
      </c>
      <c r="R106" s="12">
        <f t="shared" si="44"/>
        <v>464.51612903225805</v>
      </c>
      <c r="S106" s="12">
        <f t="shared" si="45"/>
        <v>149</v>
      </c>
      <c r="T106" s="21">
        <f t="shared" si="63"/>
        <v>175</v>
      </c>
      <c r="U106" s="13">
        <v>0</v>
      </c>
      <c r="V106" s="13">
        <f t="shared" si="62"/>
        <v>788.51612903225805</v>
      </c>
      <c r="W106" s="13">
        <f t="shared" si="46"/>
        <v>7722.9677419354848</v>
      </c>
      <c r="Y106" s="13">
        <f t="shared" si="53"/>
        <v>7722.9677419354848</v>
      </c>
      <c r="Z106" s="12">
        <f t="shared" si="54"/>
        <v>509.03225806451616</v>
      </c>
      <c r="AA106" s="12">
        <f t="shared" si="47"/>
        <v>405</v>
      </c>
      <c r="AB106" s="1">
        <f t="shared" si="55"/>
        <v>0</v>
      </c>
      <c r="AC106" s="16">
        <f t="shared" si="60"/>
        <v>914.0322580645161</v>
      </c>
      <c r="AD106" s="16">
        <f t="shared" si="48"/>
        <v>9425.5161290322576</v>
      </c>
    </row>
    <row r="107" spans="1:30" x14ac:dyDescent="0.2">
      <c r="A107" s="10" t="s">
        <v>1276</v>
      </c>
      <c r="B107" s="11">
        <f t="shared" si="56"/>
        <v>85</v>
      </c>
      <c r="C107" s="11" t="s">
        <v>1145</v>
      </c>
      <c r="D107" s="11" t="s">
        <v>51</v>
      </c>
      <c r="E107" s="19" t="s">
        <v>581</v>
      </c>
      <c r="F107" s="22">
        <v>42984</v>
      </c>
      <c r="G107" s="11">
        <v>5</v>
      </c>
      <c r="H107" s="13">
        <f t="shared" si="42"/>
        <v>806.45161290322574</v>
      </c>
      <c r="I107" s="13">
        <f t="shared" si="49"/>
        <v>0</v>
      </c>
      <c r="J107" s="13">
        <f t="shared" si="43"/>
        <v>40.322580645161288</v>
      </c>
      <c r="L107" s="13">
        <f t="shared" si="50"/>
        <v>129.03225806451613</v>
      </c>
      <c r="N107" s="13">
        <f t="shared" si="64"/>
        <v>797.41935483870964</v>
      </c>
      <c r="O107" s="13">
        <v>0</v>
      </c>
      <c r="Q107" s="13">
        <f t="shared" si="51"/>
        <v>1773.2258064516127</v>
      </c>
      <c r="R107" s="12">
        <f t="shared" si="44"/>
        <v>96.774193548387089</v>
      </c>
      <c r="S107" s="12">
        <f t="shared" si="45"/>
        <v>32</v>
      </c>
      <c r="T107" s="21">
        <f t="shared" si="63"/>
        <v>0</v>
      </c>
      <c r="U107" s="13">
        <v>0</v>
      </c>
      <c r="V107" s="13">
        <f t="shared" si="62"/>
        <v>128.77419354838707</v>
      </c>
      <c r="W107" s="13">
        <f t="shared" si="46"/>
        <v>1644.4516129032256</v>
      </c>
      <c r="Y107" s="13">
        <f t="shared" si="53"/>
        <v>1644.4516129032256</v>
      </c>
      <c r="Z107" s="12">
        <f t="shared" si="54"/>
        <v>106.04838709677419</v>
      </c>
      <c r="AA107" s="12">
        <f t="shared" si="47"/>
        <v>85</v>
      </c>
      <c r="AB107" s="1">
        <f t="shared" si="55"/>
        <v>0</v>
      </c>
      <c r="AC107" s="16">
        <f t="shared" si="60"/>
        <v>191.04838709677421</v>
      </c>
      <c r="AD107" s="16">
        <f t="shared" si="48"/>
        <v>1964.2741935483868</v>
      </c>
    </row>
    <row r="108" spans="1:30" x14ac:dyDescent="0.2">
      <c r="A108" s="10" t="s">
        <v>1277</v>
      </c>
      <c r="B108" s="11">
        <f t="shared" si="56"/>
        <v>86</v>
      </c>
      <c r="C108" s="11" t="s">
        <v>1146</v>
      </c>
      <c r="D108" s="11" t="s">
        <v>51</v>
      </c>
      <c r="E108" s="19" t="s">
        <v>658</v>
      </c>
      <c r="F108" s="22">
        <v>42986</v>
      </c>
      <c r="G108" s="11">
        <v>1</v>
      </c>
      <c r="H108" s="13">
        <f t="shared" si="42"/>
        <v>161.29032258064515</v>
      </c>
      <c r="I108" s="13">
        <f t="shared" si="49"/>
        <v>0</v>
      </c>
      <c r="J108" s="13">
        <f t="shared" si="43"/>
        <v>8.064516129032258</v>
      </c>
      <c r="L108" s="13">
        <f t="shared" si="50"/>
        <v>25.806451612903224</v>
      </c>
      <c r="N108" s="13">
        <f t="shared" si="64"/>
        <v>159.48387096774192</v>
      </c>
      <c r="O108" s="13">
        <v>0</v>
      </c>
      <c r="Q108" s="13">
        <f t="shared" si="51"/>
        <v>354.64516129032256</v>
      </c>
      <c r="R108" s="12">
        <f t="shared" si="44"/>
        <v>19.354838709677416</v>
      </c>
      <c r="S108" s="12">
        <f t="shared" si="45"/>
        <v>7</v>
      </c>
      <c r="T108" s="21">
        <f t="shared" si="63"/>
        <v>0</v>
      </c>
      <c r="U108" s="13">
        <v>0</v>
      </c>
      <c r="V108" s="13">
        <f t="shared" si="62"/>
        <v>26.354838709677416</v>
      </c>
      <c r="W108" s="13">
        <f t="shared" si="46"/>
        <v>328.29032258064512</v>
      </c>
      <c r="Y108" s="13">
        <f t="shared" si="53"/>
        <v>328.29032258064512</v>
      </c>
      <c r="Z108" s="12">
        <f t="shared" si="54"/>
        <v>21.20967741935484</v>
      </c>
      <c r="AA108" s="12">
        <f t="shared" si="47"/>
        <v>17</v>
      </c>
      <c r="AB108" s="1">
        <f t="shared" si="55"/>
        <v>0</v>
      </c>
      <c r="AC108" s="16">
        <f t="shared" si="60"/>
        <v>38.20967741935484</v>
      </c>
      <c r="AD108" s="16">
        <f t="shared" si="48"/>
        <v>392.85483870967738</v>
      </c>
    </row>
    <row r="109" spans="1:30" x14ac:dyDescent="0.2">
      <c r="A109" s="10" t="s">
        <v>1278</v>
      </c>
      <c r="B109" s="11">
        <f t="shared" si="56"/>
        <v>87</v>
      </c>
      <c r="C109" s="11" t="s">
        <v>1147</v>
      </c>
      <c r="D109" s="11" t="s">
        <v>51</v>
      </c>
      <c r="E109" s="19" t="s">
        <v>658</v>
      </c>
      <c r="F109" s="22">
        <v>42986</v>
      </c>
      <c r="G109" s="11">
        <v>24</v>
      </c>
      <c r="H109" s="13">
        <f t="shared" si="42"/>
        <v>3870.9677419354839</v>
      </c>
      <c r="I109" s="13">
        <f t="shared" si="49"/>
        <v>0</v>
      </c>
      <c r="J109" s="13">
        <f t="shared" si="43"/>
        <v>193.54838709677421</v>
      </c>
      <c r="L109" s="13">
        <f t="shared" si="50"/>
        <v>619.35483870967732</v>
      </c>
      <c r="N109" s="13">
        <f t="shared" si="64"/>
        <v>3827.6129032258059</v>
      </c>
      <c r="O109" s="13">
        <v>0</v>
      </c>
      <c r="Q109" s="13">
        <f t="shared" si="51"/>
        <v>8511.4838709677424</v>
      </c>
      <c r="R109" s="12">
        <f t="shared" si="44"/>
        <v>464.51612903225805</v>
      </c>
      <c r="S109" s="12">
        <f t="shared" si="45"/>
        <v>149</v>
      </c>
      <c r="T109" s="21">
        <f t="shared" si="63"/>
        <v>175</v>
      </c>
      <c r="U109" s="13">
        <v>0</v>
      </c>
      <c r="V109" s="13">
        <f t="shared" si="62"/>
        <v>788.51612903225805</v>
      </c>
      <c r="W109" s="13">
        <f t="shared" si="46"/>
        <v>7722.9677419354848</v>
      </c>
      <c r="Y109" s="13">
        <f t="shared" si="53"/>
        <v>7722.9677419354848</v>
      </c>
      <c r="Z109" s="12">
        <f t="shared" si="54"/>
        <v>509.03225806451616</v>
      </c>
      <c r="AA109" s="12">
        <f t="shared" si="47"/>
        <v>405</v>
      </c>
      <c r="AB109" s="1">
        <f t="shared" si="55"/>
        <v>0</v>
      </c>
      <c r="AC109" s="16">
        <f t="shared" si="60"/>
        <v>914.0322580645161</v>
      </c>
      <c r="AD109" s="16">
        <f t="shared" si="48"/>
        <v>9425.5161290322576</v>
      </c>
    </row>
    <row r="110" spans="1:30" x14ac:dyDescent="0.2">
      <c r="A110" s="10" t="s">
        <v>1279</v>
      </c>
      <c r="B110" s="11">
        <f t="shared" si="56"/>
        <v>88</v>
      </c>
      <c r="C110" s="11" t="s">
        <v>1148</v>
      </c>
      <c r="D110" s="11" t="s">
        <v>51</v>
      </c>
      <c r="E110" s="19" t="s">
        <v>658</v>
      </c>
      <c r="F110" s="22">
        <v>42989</v>
      </c>
      <c r="G110" s="11">
        <v>18</v>
      </c>
      <c r="H110" s="13">
        <f t="shared" si="42"/>
        <v>2903.2258064516127</v>
      </c>
      <c r="I110" s="13">
        <f t="shared" si="49"/>
        <v>0</v>
      </c>
      <c r="J110" s="13">
        <f t="shared" si="43"/>
        <v>145.16129032258064</v>
      </c>
      <c r="L110" s="13">
        <f t="shared" si="50"/>
        <v>464.51612903225805</v>
      </c>
      <c r="N110" s="13">
        <f t="shared" si="64"/>
        <v>2870.7096774193546</v>
      </c>
      <c r="O110" s="13">
        <v>0</v>
      </c>
      <c r="Q110" s="13">
        <f t="shared" si="51"/>
        <v>6383.6129032258059</v>
      </c>
      <c r="R110" s="12">
        <f t="shared" si="44"/>
        <v>348.38709677419354</v>
      </c>
      <c r="S110" s="12">
        <f t="shared" si="45"/>
        <v>112</v>
      </c>
      <c r="T110" s="21">
        <f t="shared" si="63"/>
        <v>0</v>
      </c>
      <c r="U110" s="13">
        <v>0</v>
      </c>
      <c r="V110" s="13">
        <f t="shared" si="62"/>
        <v>460.38709677419354</v>
      </c>
      <c r="W110" s="13">
        <f t="shared" si="46"/>
        <v>5923.2258064516127</v>
      </c>
      <c r="Y110" s="13">
        <f t="shared" si="53"/>
        <v>5923.2258064516127</v>
      </c>
      <c r="Z110" s="12">
        <f t="shared" si="54"/>
        <v>381.77419354838707</v>
      </c>
      <c r="AA110" s="12">
        <f t="shared" si="47"/>
        <v>304</v>
      </c>
      <c r="AB110" s="1">
        <f t="shared" si="55"/>
        <v>0</v>
      </c>
      <c r="AC110" s="16">
        <f t="shared" si="60"/>
        <v>685.77419354838707</v>
      </c>
      <c r="AD110" s="16">
        <f t="shared" si="48"/>
        <v>7069.3870967741932</v>
      </c>
    </row>
    <row r="111" spans="1:30" x14ac:dyDescent="0.2">
      <c r="A111" s="10" t="s">
        <v>1280</v>
      </c>
      <c r="B111" s="11">
        <f t="shared" si="56"/>
        <v>89</v>
      </c>
      <c r="C111" s="11" t="s">
        <v>1149</v>
      </c>
      <c r="D111" s="11" t="s">
        <v>51</v>
      </c>
      <c r="E111" s="19" t="s">
        <v>658</v>
      </c>
      <c r="F111" s="22">
        <v>42991</v>
      </c>
      <c r="G111" s="11">
        <v>31</v>
      </c>
      <c r="H111" s="13">
        <f t="shared" si="42"/>
        <v>5000</v>
      </c>
      <c r="I111" s="13">
        <f t="shared" si="49"/>
        <v>0</v>
      </c>
      <c r="J111" s="13">
        <f t="shared" si="43"/>
        <v>250</v>
      </c>
      <c r="L111" s="13">
        <f t="shared" si="50"/>
        <v>800</v>
      </c>
      <c r="N111" s="13">
        <f t="shared" si="64"/>
        <v>4944</v>
      </c>
      <c r="O111" s="13">
        <v>0</v>
      </c>
      <c r="Q111" s="13">
        <f t="shared" si="51"/>
        <v>10994</v>
      </c>
      <c r="R111" s="12">
        <f t="shared" si="44"/>
        <v>600</v>
      </c>
      <c r="S111" s="12">
        <f t="shared" si="45"/>
        <v>193</v>
      </c>
      <c r="T111" s="21">
        <f t="shared" si="63"/>
        <v>200</v>
      </c>
      <c r="U111" s="13">
        <v>0</v>
      </c>
      <c r="V111" s="13">
        <f t="shared" si="62"/>
        <v>993</v>
      </c>
      <c r="W111" s="13">
        <f t="shared" si="46"/>
        <v>10001</v>
      </c>
      <c r="Y111" s="13">
        <f t="shared" si="53"/>
        <v>10001</v>
      </c>
      <c r="Z111" s="12">
        <f t="shared" si="54"/>
        <v>657.5</v>
      </c>
      <c r="AA111" s="12">
        <f t="shared" si="47"/>
        <v>523</v>
      </c>
      <c r="AB111" s="1">
        <f t="shared" si="55"/>
        <v>0</v>
      </c>
      <c r="AC111" s="16">
        <f t="shared" si="60"/>
        <v>1180.5</v>
      </c>
      <c r="AD111" s="16">
        <f t="shared" si="48"/>
        <v>12174.5</v>
      </c>
    </row>
    <row r="112" spans="1:30" x14ac:dyDescent="0.2">
      <c r="A112" s="10" t="s">
        <v>1281</v>
      </c>
      <c r="B112" s="11">
        <f t="shared" si="56"/>
        <v>90</v>
      </c>
      <c r="C112" s="11" t="s">
        <v>1150</v>
      </c>
      <c r="D112" s="11" t="s">
        <v>51</v>
      </c>
      <c r="E112" s="19" t="s">
        <v>658</v>
      </c>
      <c r="F112" s="22">
        <v>42992</v>
      </c>
      <c r="G112" s="11">
        <v>18</v>
      </c>
      <c r="H112" s="13">
        <f t="shared" si="42"/>
        <v>2903.2258064516127</v>
      </c>
      <c r="I112" s="13">
        <f t="shared" si="49"/>
        <v>0</v>
      </c>
      <c r="J112" s="13">
        <f t="shared" si="43"/>
        <v>145.16129032258064</v>
      </c>
      <c r="L112" s="13">
        <f t="shared" si="50"/>
        <v>464.51612903225805</v>
      </c>
      <c r="N112" s="13">
        <f t="shared" si="64"/>
        <v>2870.7096774193546</v>
      </c>
      <c r="O112" s="13">
        <v>0</v>
      </c>
      <c r="Q112" s="13">
        <f t="shared" si="51"/>
        <v>6383.6129032258059</v>
      </c>
      <c r="R112" s="12">
        <f t="shared" si="44"/>
        <v>348.38709677419354</v>
      </c>
      <c r="S112" s="12">
        <f t="shared" si="45"/>
        <v>112</v>
      </c>
      <c r="T112" s="21">
        <f t="shared" si="63"/>
        <v>0</v>
      </c>
      <c r="U112" s="13">
        <v>0</v>
      </c>
      <c r="V112" s="13">
        <f t="shared" si="62"/>
        <v>460.38709677419354</v>
      </c>
      <c r="W112" s="13">
        <f t="shared" si="46"/>
        <v>5923.2258064516127</v>
      </c>
      <c r="Y112" s="13">
        <f t="shared" si="53"/>
        <v>5923.2258064516127</v>
      </c>
      <c r="Z112" s="12">
        <f t="shared" si="54"/>
        <v>381.77419354838707</v>
      </c>
      <c r="AA112" s="12">
        <f t="shared" si="47"/>
        <v>304</v>
      </c>
      <c r="AB112" s="1">
        <f t="shared" si="55"/>
        <v>0</v>
      </c>
      <c r="AC112" s="16">
        <f t="shared" si="60"/>
        <v>685.77419354838707</v>
      </c>
      <c r="AD112" s="16">
        <f t="shared" si="48"/>
        <v>7069.3870967741932</v>
      </c>
    </row>
    <row r="113" spans="1:30" x14ac:dyDescent="0.2">
      <c r="A113" s="10" t="s">
        <v>1282</v>
      </c>
      <c r="B113" s="11">
        <f t="shared" si="56"/>
        <v>91</v>
      </c>
      <c r="C113" s="11" t="s">
        <v>1151</v>
      </c>
      <c r="D113" s="11" t="s">
        <v>51</v>
      </c>
      <c r="E113" s="19" t="s">
        <v>1162</v>
      </c>
      <c r="F113" s="22">
        <v>42995</v>
      </c>
      <c r="G113" s="11">
        <v>11</v>
      </c>
      <c r="H113" s="13">
        <f t="shared" si="42"/>
        <v>1774.1935483870966</v>
      </c>
      <c r="I113" s="13">
        <f t="shared" si="49"/>
        <v>0</v>
      </c>
      <c r="J113" s="13">
        <f t="shared" si="43"/>
        <v>88.709677419354833</v>
      </c>
      <c r="L113" s="13">
        <f t="shared" si="50"/>
        <v>283.87096774193549</v>
      </c>
      <c r="N113" s="13">
        <f t="shared" si="64"/>
        <v>1754.3225806451612</v>
      </c>
      <c r="O113" s="13">
        <v>0</v>
      </c>
      <c r="Q113" s="13">
        <f t="shared" si="51"/>
        <v>3901.0967741935483</v>
      </c>
      <c r="R113" s="12">
        <f t="shared" si="44"/>
        <v>212.90322580645159</v>
      </c>
      <c r="S113" s="12">
        <f t="shared" si="45"/>
        <v>69</v>
      </c>
      <c r="T113" s="21">
        <f t="shared" si="63"/>
        <v>0</v>
      </c>
      <c r="U113" s="13">
        <v>0</v>
      </c>
      <c r="V113" s="13">
        <f t="shared" si="62"/>
        <v>281.90322580645159</v>
      </c>
      <c r="W113" s="13">
        <f t="shared" si="46"/>
        <v>3619.1935483870966</v>
      </c>
      <c r="Y113" s="13">
        <f t="shared" si="53"/>
        <v>3619.1935483870966</v>
      </c>
      <c r="Z113" s="12">
        <f t="shared" si="54"/>
        <v>233.3064516129032</v>
      </c>
      <c r="AA113" s="12">
        <f t="shared" si="47"/>
        <v>186</v>
      </c>
      <c r="AB113" s="1">
        <f t="shared" si="55"/>
        <v>0</v>
      </c>
      <c r="AC113" s="16">
        <f t="shared" si="60"/>
        <v>419.30645161290317</v>
      </c>
      <c r="AD113" s="16">
        <f t="shared" si="48"/>
        <v>4320.4032258064517</v>
      </c>
    </row>
    <row r="114" spans="1:30" x14ac:dyDescent="0.2">
      <c r="A114" s="10" t="s">
        <v>1283</v>
      </c>
      <c r="B114" s="11">
        <f t="shared" si="56"/>
        <v>92</v>
      </c>
      <c r="C114" s="11" t="s">
        <v>1152</v>
      </c>
      <c r="D114" s="11" t="s">
        <v>51</v>
      </c>
      <c r="E114" s="19" t="s">
        <v>581</v>
      </c>
      <c r="F114" s="22">
        <v>42995</v>
      </c>
      <c r="G114" s="11">
        <v>27</v>
      </c>
      <c r="H114" s="13">
        <f t="shared" si="42"/>
        <v>4354.8387096774195</v>
      </c>
      <c r="I114" s="13">
        <f t="shared" si="49"/>
        <v>0</v>
      </c>
      <c r="J114" s="13">
        <f t="shared" si="43"/>
        <v>217.74193548387098</v>
      </c>
      <c r="L114" s="13">
        <f t="shared" si="50"/>
        <v>696.77419354838707</v>
      </c>
      <c r="N114" s="13">
        <f t="shared" si="64"/>
        <v>4306.0645161290322</v>
      </c>
      <c r="O114" s="13">
        <v>0</v>
      </c>
      <c r="Q114" s="13">
        <f t="shared" si="51"/>
        <v>9575.4193548387102</v>
      </c>
      <c r="R114" s="12">
        <f t="shared" si="44"/>
        <v>522.58064516129036</v>
      </c>
      <c r="S114" s="12">
        <f t="shared" si="45"/>
        <v>168</v>
      </c>
      <c r="T114" s="21">
        <f t="shared" si="63"/>
        <v>175</v>
      </c>
      <c r="U114" s="13">
        <v>0</v>
      </c>
      <c r="V114" s="13">
        <f t="shared" si="62"/>
        <v>865.58064516129036</v>
      </c>
      <c r="W114" s="13">
        <f t="shared" si="46"/>
        <v>8709.8387096774204</v>
      </c>
      <c r="Y114" s="13">
        <f t="shared" si="53"/>
        <v>8709.8387096774204</v>
      </c>
      <c r="Z114" s="12">
        <f t="shared" si="54"/>
        <v>572.66129032258073</v>
      </c>
      <c r="AA114" s="12">
        <f t="shared" si="47"/>
        <v>455</v>
      </c>
      <c r="AB114" s="1">
        <f t="shared" si="55"/>
        <v>0</v>
      </c>
      <c r="AC114" s="16">
        <f t="shared" si="60"/>
        <v>1027.6612903225807</v>
      </c>
      <c r="AD114" s="16">
        <f t="shared" si="48"/>
        <v>10603.080645161292</v>
      </c>
    </row>
    <row r="115" spans="1:30" x14ac:dyDescent="0.2">
      <c r="A115" s="10" t="s">
        <v>1284</v>
      </c>
      <c r="B115" s="11">
        <f t="shared" si="56"/>
        <v>93</v>
      </c>
      <c r="C115" s="11" t="s">
        <v>1153</v>
      </c>
      <c r="D115" s="11" t="s">
        <v>51</v>
      </c>
      <c r="E115" s="19" t="s">
        <v>581</v>
      </c>
      <c r="F115" s="22">
        <v>42995</v>
      </c>
      <c r="G115" s="11">
        <v>27</v>
      </c>
      <c r="H115" s="13">
        <f t="shared" si="42"/>
        <v>4354.8387096774195</v>
      </c>
      <c r="I115" s="13">
        <f t="shared" si="49"/>
        <v>0</v>
      </c>
      <c r="J115" s="13">
        <f t="shared" si="43"/>
        <v>217.74193548387098</v>
      </c>
      <c r="L115" s="13">
        <f t="shared" si="50"/>
        <v>696.77419354838707</v>
      </c>
      <c r="N115" s="13">
        <f t="shared" si="64"/>
        <v>4306.0645161290322</v>
      </c>
      <c r="O115" s="13">
        <v>0</v>
      </c>
      <c r="Q115" s="13">
        <f t="shared" si="51"/>
        <v>9575.4193548387102</v>
      </c>
      <c r="R115" s="12">
        <f t="shared" si="44"/>
        <v>522.58064516129036</v>
      </c>
      <c r="S115" s="12">
        <f t="shared" si="45"/>
        <v>168</v>
      </c>
      <c r="T115" s="21">
        <f t="shared" si="63"/>
        <v>175</v>
      </c>
      <c r="U115" s="13">
        <v>0</v>
      </c>
      <c r="V115" s="13">
        <f t="shared" si="62"/>
        <v>865.58064516129036</v>
      </c>
      <c r="W115" s="13">
        <f t="shared" si="46"/>
        <v>8709.8387096774204</v>
      </c>
      <c r="Y115" s="13">
        <f t="shared" si="53"/>
        <v>8709.8387096774204</v>
      </c>
      <c r="Z115" s="12">
        <f t="shared" si="54"/>
        <v>572.66129032258073</v>
      </c>
      <c r="AA115" s="12">
        <f t="shared" si="47"/>
        <v>455</v>
      </c>
      <c r="AB115" s="1">
        <f t="shared" si="55"/>
        <v>0</v>
      </c>
      <c r="AC115" s="16">
        <f t="shared" si="60"/>
        <v>1027.6612903225807</v>
      </c>
      <c r="AD115" s="16">
        <f t="shared" si="48"/>
        <v>10603.080645161292</v>
      </c>
    </row>
    <row r="116" spans="1:30" x14ac:dyDescent="0.2">
      <c r="A116" s="10" t="s">
        <v>1285</v>
      </c>
      <c r="B116" s="11">
        <f t="shared" si="56"/>
        <v>94</v>
      </c>
      <c r="C116" s="11" t="s">
        <v>1154</v>
      </c>
      <c r="D116" s="11" t="s">
        <v>51</v>
      </c>
      <c r="E116" s="19" t="s">
        <v>658</v>
      </c>
      <c r="F116" s="22">
        <v>42996</v>
      </c>
      <c r="G116" s="11">
        <v>27</v>
      </c>
      <c r="H116" s="13">
        <f t="shared" si="42"/>
        <v>4354.8387096774195</v>
      </c>
      <c r="I116" s="13">
        <f t="shared" si="49"/>
        <v>0</v>
      </c>
      <c r="J116" s="13">
        <f t="shared" si="43"/>
        <v>217.74193548387098</v>
      </c>
      <c r="L116" s="13">
        <f t="shared" si="50"/>
        <v>696.77419354838707</v>
      </c>
      <c r="N116" s="13">
        <f t="shared" si="64"/>
        <v>4306.0645161290322</v>
      </c>
      <c r="O116" s="13">
        <v>0</v>
      </c>
      <c r="Q116" s="13">
        <f t="shared" si="51"/>
        <v>9575.4193548387102</v>
      </c>
      <c r="R116" s="12">
        <f t="shared" si="44"/>
        <v>522.58064516129036</v>
      </c>
      <c r="S116" s="12">
        <f t="shared" si="45"/>
        <v>168</v>
      </c>
      <c r="T116" s="21">
        <f t="shared" si="63"/>
        <v>175</v>
      </c>
      <c r="U116" s="13">
        <v>0</v>
      </c>
      <c r="V116" s="13">
        <f t="shared" si="62"/>
        <v>865.58064516129036</v>
      </c>
      <c r="W116" s="13">
        <f t="shared" si="46"/>
        <v>8709.8387096774204</v>
      </c>
      <c r="Y116" s="13">
        <f t="shared" si="53"/>
        <v>8709.8387096774204</v>
      </c>
      <c r="Z116" s="12">
        <f t="shared" si="54"/>
        <v>572.66129032258073</v>
      </c>
      <c r="AA116" s="12">
        <f t="shared" si="47"/>
        <v>455</v>
      </c>
      <c r="AB116" s="1">
        <f t="shared" si="55"/>
        <v>0</v>
      </c>
      <c r="AC116" s="16">
        <f t="shared" si="60"/>
        <v>1027.6612903225807</v>
      </c>
      <c r="AD116" s="16">
        <f t="shared" si="48"/>
        <v>10603.080645161292</v>
      </c>
    </row>
    <row r="117" spans="1:30" x14ac:dyDescent="0.2">
      <c r="A117" s="10" t="s">
        <v>1286</v>
      </c>
      <c r="B117" s="11">
        <f t="shared" si="56"/>
        <v>95</v>
      </c>
      <c r="C117" s="11" t="s">
        <v>1155</v>
      </c>
      <c r="D117" s="11" t="s">
        <v>51</v>
      </c>
      <c r="E117" s="19" t="s">
        <v>658</v>
      </c>
      <c r="F117" s="22">
        <v>43000</v>
      </c>
      <c r="G117" s="11">
        <v>28</v>
      </c>
      <c r="H117" s="13">
        <f t="shared" si="42"/>
        <v>4516.1290322580644</v>
      </c>
      <c r="I117" s="13">
        <f t="shared" si="49"/>
        <v>0</v>
      </c>
      <c r="J117" s="13">
        <f t="shared" si="43"/>
        <v>225.80645161290323</v>
      </c>
      <c r="L117" s="13">
        <f t="shared" si="50"/>
        <v>722.58064516129025</v>
      </c>
      <c r="N117" s="13">
        <f t="shared" si="64"/>
        <v>4465.5483870967737</v>
      </c>
      <c r="O117" s="13">
        <v>0</v>
      </c>
      <c r="Q117" s="13">
        <f t="shared" si="51"/>
        <v>9930.0645161290304</v>
      </c>
      <c r="R117" s="12">
        <f t="shared" si="44"/>
        <v>541.93548387096769</v>
      </c>
      <c r="S117" s="12">
        <f t="shared" si="45"/>
        <v>174</v>
      </c>
      <c r="T117" s="21">
        <f t="shared" si="63"/>
        <v>175</v>
      </c>
      <c r="U117" s="13">
        <v>0</v>
      </c>
      <c r="V117" s="13">
        <f t="shared" si="62"/>
        <v>890.93548387096769</v>
      </c>
      <c r="W117" s="13">
        <f t="shared" si="46"/>
        <v>9039.1290322580626</v>
      </c>
      <c r="Y117" s="13">
        <f t="shared" si="53"/>
        <v>9039.1290322580626</v>
      </c>
      <c r="Z117" s="12">
        <f t="shared" si="54"/>
        <v>593.87096774193549</v>
      </c>
      <c r="AA117" s="12">
        <f t="shared" si="47"/>
        <v>472</v>
      </c>
      <c r="AB117" s="1">
        <f t="shared" si="55"/>
        <v>0</v>
      </c>
      <c r="AC117" s="16">
        <f t="shared" si="60"/>
        <v>1065.8709677419356</v>
      </c>
      <c r="AD117" s="16">
        <f t="shared" si="48"/>
        <v>10995.935483870966</v>
      </c>
    </row>
    <row r="118" spans="1:30" x14ac:dyDescent="0.2">
      <c r="A118" s="10" t="s">
        <v>1287</v>
      </c>
      <c r="B118" s="11">
        <f t="shared" si="56"/>
        <v>96</v>
      </c>
      <c r="C118" s="11" t="s">
        <v>1156</v>
      </c>
      <c r="D118" s="11" t="s">
        <v>51</v>
      </c>
      <c r="E118" s="19" t="s">
        <v>236</v>
      </c>
      <c r="F118" s="22">
        <v>43000</v>
      </c>
      <c r="G118" s="11">
        <v>25</v>
      </c>
      <c r="H118" s="13">
        <f t="shared" si="42"/>
        <v>4032.2580645161288</v>
      </c>
      <c r="I118" s="13">
        <f t="shared" si="49"/>
        <v>0</v>
      </c>
      <c r="J118" s="13">
        <f t="shared" si="43"/>
        <v>201.61290322580646</v>
      </c>
      <c r="L118" s="13">
        <f t="shared" si="50"/>
        <v>645.16129032258061</v>
      </c>
      <c r="N118" s="13">
        <f t="shared" ref="N118:N122" si="65">((1950+2000+0)/G$3)*G118</f>
        <v>3185.483870967742</v>
      </c>
      <c r="O118" s="13">
        <v>0</v>
      </c>
      <c r="Q118" s="13">
        <f t="shared" si="51"/>
        <v>8064.5161290322576</v>
      </c>
      <c r="R118" s="12">
        <f t="shared" si="44"/>
        <v>483.87096774193543</v>
      </c>
      <c r="S118" s="12">
        <f t="shared" si="45"/>
        <v>142</v>
      </c>
      <c r="T118" s="21">
        <f t="shared" si="63"/>
        <v>175</v>
      </c>
      <c r="U118" s="13">
        <v>0</v>
      </c>
      <c r="V118" s="13">
        <f t="shared" si="62"/>
        <v>800.87096774193537</v>
      </c>
      <c r="W118" s="13">
        <f t="shared" si="46"/>
        <v>7263.645161290322</v>
      </c>
      <c r="Y118" s="13">
        <f t="shared" si="53"/>
        <v>7263.645161290322</v>
      </c>
      <c r="Z118" s="12">
        <f t="shared" si="54"/>
        <v>530.24193548387098</v>
      </c>
      <c r="AA118" s="12">
        <f t="shared" si="47"/>
        <v>384</v>
      </c>
      <c r="AB118" s="1">
        <f t="shared" si="55"/>
        <v>0</v>
      </c>
      <c r="AC118" s="16">
        <f t="shared" si="60"/>
        <v>914.24193548387098</v>
      </c>
      <c r="AD118" s="16">
        <f t="shared" si="48"/>
        <v>8978.7580645161288</v>
      </c>
    </row>
    <row r="119" spans="1:30" x14ac:dyDescent="0.2">
      <c r="A119" s="10" t="s">
        <v>1288</v>
      </c>
      <c r="B119" s="11">
        <f t="shared" si="56"/>
        <v>97</v>
      </c>
      <c r="C119" s="11" t="s">
        <v>1157</v>
      </c>
      <c r="D119" s="11" t="s">
        <v>51</v>
      </c>
      <c r="E119" s="19" t="s">
        <v>658</v>
      </c>
      <c r="F119" s="22">
        <v>43001</v>
      </c>
      <c r="G119" s="11">
        <v>4</v>
      </c>
      <c r="H119" s="13">
        <f t="shared" si="42"/>
        <v>645.16129032258061</v>
      </c>
      <c r="I119" s="13">
        <f t="shared" si="49"/>
        <v>0</v>
      </c>
      <c r="J119" s="13">
        <f t="shared" si="43"/>
        <v>32.258064516129032</v>
      </c>
      <c r="L119" s="13">
        <f t="shared" si="50"/>
        <v>103.2258064516129</v>
      </c>
      <c r="N119" s="13">
        <f t="shared" si="64"/>
        <v>637.93548387096769</v>
      </c>
      <c r="O119" s="13">
        <v>0</v>
      </c>
      <c r="Q119" s="13">
        <f t="shared" si="51"/>
        <v>1418.5806451612902</v>
      </c>
      <c r="R119" s="12">
        <f t="shared" si="44"/>
        <v>77.419354838709666</v>
      </c>
      <c r="S119" s="12">
        <f t="shared" si="45"/>
        <v>25</v>
      </c>
      <c r="T119" s="21">
        <f t="shared" si="63"/>
        <v>0</v>
      </c>
      <c r="U119" s="13">
        <v>0</v>
      </c>
      <c r="V119" s="13">
        <f t="shared" si="62"/>
        <v>102.41935483870967</v>
      </c>
      <c r="W119" s="13">
        <f t="shared" si="46"/>
        <v>1316.1612903225805</v>
      </c>
      <c r="Y119" s="13">
        <f t="shared" si="53"/>
        <v>1316.1612903225805</v>
      </c>
      <c r="Z119" s="12">
        <f t="shared" si="54"/>
        <v>84.838709677419359</v>
      </c>
      <c r="AA119" s="12">
        <f t="shared" si="47"/>
        <v>68</v>
      </c>
      <c r="AB119" s="1">
        <f t="shared" si="55"/>
        <v>0</v>
      </c>
      <c r="AC119" s="16">
        <f t="shared" si="60"/>
        <v>152.83870967741936</v>
      </c>
      <c r="AD119" s="16">
        <f t="shared" si="48"/>
        <v>1571.4193548387095</v>
      </c>
    </row>
    <row r="120" spans="1:30" x14ac:dyDescent="0.2">
      <c r="A120" s="10" t="s">
        <v>1289</v>
      </c>
      <c r="B120" s="11">
        <f t="shared" si="56"/>
        <v>98</v>
      </c>
      <c r="C120" s="11" t="s">
        <v>1158</v>
      </c>
      <c r="D120" s="11" t="s">
        <v>51</v>
      </c>
      <c r="E120" s="19" t="s">
        <v>236</v>
      </c>
      <c r="F120" s="22">
        <v>43004</v>
      </c>
      <c r="G120" s="11">
        <v>27</v>
      </c>
      <c r="H120" s="13">
        <f t="shared" si="42"/>
        <v>4354.8387096774195</v>
      </c>
      <c r="I120" s="13">
        <f t="shared" si="49"/>
        <v>0</v>
      </c>
      <c r="J120" s="13">
        <f t="shared" si="43"/>
        <v>217.74193548387098</v>
      </c>
      <c r="L120" s="13">
        <f t="shared" si="50"/>
        <v>696.77419354838707</v>
      </c>
      <c r="N120" s="13">
        <f t="shared" si="65"/>
        <v>3440.3225806451615</v>
      </c>
      <c r="O120" s="13">
        <v>0</v>
      </c>
      <c r="Q120" s="13">
        <f t="shared" si="51"/>
        <v>8709.677419354839</v>
      </c>
      <c r="R120" s="12">
        <f t="shared" si="44"/>
        <v>522.58064516129036</v>
      </c>
      <c r="S120" s="12">
        <f t="shared" si="45"/>
        <v>153</v>
      </c>
      <c r="T120" s="21">
        <f t="shared" si="63"/>
        <v>175</v>
      </c>
      <c r="U120" s="13">
        <v>0</v>
      </c>
      <c r="V120" s="13">
        <f t="shared" si="62"/>
        <v>850.58064516129036</v>
      </c>
      <c r="W120" s="13">
        <f t="shared" si="46"/>
        <v>7859.0967741935483</v>
      </c>
      <c r="Y120" s="13">
        <f t="shared" si="53"/>
        <v>7859.0967741935483</v>
      </c>
      <c r="Z120" s="12">
        <f t="shared" si="54"/>
        <v>572.66129032258073</v>
      </c>
      <c r="AA120" s="12">
        <f t="shared" si="47"/>
        <v>414</v>
      </c>
      <c r="AB120" s="1">
        <f t="shared" si="55"/>
        <v>0</v>
      </c>
      <c r="AC120" s="16">
        <f t="shared" si="60"/>
        <v>986.66129032258073</v>
      </c>
      <c r="AD120" s="16">
        <f t="shared" si="48"/>
        <v>9696.3387096774204</v>
      </c>
    </row>
    <row r="121" spans="1:30" x14ac:dyDescent="0.2">
      <c r="A121" s="10" t="s">
        <v>1290</v>
      </c>
      <c r="B121" s="11">
        <f t="shared" si="56"/>
        <v>99</v>
      </c>
      <c r="C121" s="11" t="s">
        <v>1159</v>
      </c>
      <c r="D121" s="11" t="s">
        <v>51</v>
      </c>
      <c r="E121" s="19" t="s">
        <v>236</v>
      </c>
      <c r="F121" s="22">
        <v>43004</v>
      </c>
      <c r="G121" s="11">
        <v>29</v>
      </c>
      <c r="H121" s="13">
        <f t="shared" si="42"/>
        <v>4677.4193548387093</v>
      </c>
      <c r="I121" s="13">
        <f t="shared" si="49"/>
        <v>0</v>
      </c>
      <c r="J121" s="13">
        <f t="shared" si="43"/>
        <v>233.87096774193549</v>
      </c>
      <c r="L121" s="13">
        <f t="shared" si="50"/>
        <v>748.38709677419354</v>
      </c>
      <c r="N121" s="13">
        <f t="shared" si="65"/>
        <v>3695.1612903225805</v>
      </c>
      <c r="O121" s="13">
        <v>0</v>
      </c>
      <c r="Q121" s="13">
        <f t="shared" si="51"/>
        <v>9354.8387096774186</v>
      </c>
      <c r="R121" s="12">
        <f t="shared" si="44"/>
        <v>561.29032258064512</v>
      </c>
      <c r="S121" s="12">
        <f t="shared" si="45"/>
        <v>164</v>
      </c>
      <c r="T121" s="21">
        <f t="shared" si="63"/>
        <v>175</v>
      </c>
      <c r="U121" s="13">
        <v>0</v>
      </c>
      <c r="V121" s="13">
        <f t="shared" si="62"/>
        <v>900.29032258064512</v>
      </c>
      <c r="W121" s="13">
        <f t="shared" si="46"/>
        <v>8454.5483870967728</v>
      </c>
      <c r="Y121" s="13">
        <f t="shared" si="53"/>
        <v>8454.5483870967728</v>
      </c>
      <c r="Z121" s="12">
        <f t="shared" si="54"/>
        <v>615.08064516129025</v>
      </c>
      <c r="AA121" s="12">
        <f t="shared" si="47"/>
        <v>445</v>
      </c>
      <c r="AB121" s="1">
        <f t="shared" si="55"/>
        <v>0</v>
      </c>
      <c r="AC121" s="16">
        <f t="shared" si="60"/>
        <v>1060.0806451612902</v>
      </c>
      <c r="AD121" s="16">
        <f t="shared" si="48"/>
        <v>10414.919354838708</v>
      </c>
    </row>
    <row r="122" spans="1:30" x14ac:dyDescent="0.2">
      <c r="A122" s="10" t="s">
        <v>1291</v>
      </c>
      <c r="B122" s="11">
        <f t="shared" si="56"/>
        <v>100</v>
      </c>
      <c r="C122" s="11" t="s">
        <v>1160</v>
      </c>
      <c r="D122" s="11" t="s">
        <v>51</v>
      </c>
      <c r="E122" s="19" t="s">
        <v>236</v>
      </c>
      <c r="F122" s="22">
        <v>43004</v>
      </c>
      <c r="G122" s="11">
        <v>32</v>
      </c>
      <c r="H122" s="13">
        <f t="shared" si="42"/>
        <v>5161.2903225806449</v>
      </c>
      <c r="I122" s="13">
        <f t="shared" si="49"/>
        <v>0</v>
      </c>
      <c r="J122" s="13">
        <f t="shared" si="43"/>
        <v>258.06451612903226</v>
      </c>
      <c r="L122" s="13">
        <f t="shared" si="50"/>
        <v>825.80645161290317</v>
      </c>
      <c r="N122" s="13">
        <f t="shared" si="65"/>
        <v>4077.4193548387098</v>
      </c>
      <c r="O122" s="13">
        <v>0</v>
      </c>
      <c r="Q122" s="13">
        <f t="shared" si="51"/>
        <v>10322.58064516129</v>
      </c>
      <c r="R122" s="12">
        <f t="shared" si="44"/>
        <v>619.35483870967732</v>
      </c>
      <c r="S122" s="12">
        <f t="shared" si="45"/>
        <v>181</v>
      </c>
      <c r="T122" s="21">
        <f t="shared" si="63"/>
        <v>200</v>
      </c>
      <c r="U122" s="13">
        <v>0</v>
      </c>
      <c r="V122" s="13">
        <f t="shared" si="62"/>
        <v>1000.3548387096773</v>
      </c>
      <c r="W122" s="13">
        <f t="shared" si="46"/>
        <v>9322.2258064516118</v>
      </c>
      <c r="Y122" s="13">
        <f t="shared" si="53"/>
        <v>9322.2258064516118</v>
      </c>
      <c r="Z122" s="12">
        <f t="shared" si="54"/>
        <v>678.70967741935488</v>
      </c>
      <c r="AA122" s="12">
        <f t="shared" si="47"/>
        <v>491</v>
      </c>
      <c r="AB122" s="1">
        <f t="shared" si="55"/>
        <v>0</v>
      </c>
      <c r="AC122" s="16">
        <f t="shared" si="60"/>
        <v>1169.7096774193549</v>
      </c>
      <c r="AD122" s="16">
        <f t="shared" si="48"/>
        <v>11492.290322580644</v>
      </c>
    </row>
    <row r="123" spans="1:30" x14ac:dyDescent="0.2">
      <c r="A123" s="10" t="s">
        <v>849</v>
      </c>
      <c r="B123" s="11">
        <f t="shared" si="56"/>
        <v>101</v>
      </c>
      <c r="C123" s="11" t="s">
        <v>1186</v>
      </c>
      <c r="D123" s="11" t="s">
        <v>51</v>
      </c>
      <c r="E123" s="19" t="s">
        <v>658</v>
      </c>
      <c r="F123" s="22">
        <v>42991</v>
      </c>
      <c r="G123" s="11">
        <v>16</v>
      </c>
      <c r="H123" s="13">
        <f t="shared" si="42"/>
        <v>2580.6451612903224</v>
      </c>
      <c r="I123" s="13">
        <f t="shared" si="49"/>
        <v>0</v>
      </c>
      <c r="J123" s="13">
        <f t="shared" si="43"/>
        <v>129.03225806451613</v>
      </c>
      <c r="L123" s="13">
        <f t="shared" si="50"/>
        <v>412.90322580645159</v>
      </c>
      <c r="N123" s="13">
        <f t="shared" ref="N123" si="66">((1950+2000+994)/G$3)*G123</f>
        <v>2551.7419354838707</v>
      </c>
      <c r="O123" s="13">
        <v>0</v>
      </c>
      <c r="Q123" s="13">
        <f t="shared" si="51"/>
        <v>5674.322580645161</v>
      </c>
      <c r="R123" s="12">
        <f t="shared" si="44"/>
        <v>309.67741935483866</v>
      </c>
      <c r="S123" s="12">
        <f t="shared" si="45"/>
        <v>100</v>
      </c>
      <c r="T123" s="21">
        <f t="shared" si="63"/>
        <v>0</v>
      </c>
      <c r="U123" s="13">
        <v>0</v>
      </c>
      <c r="V123" s="13">
        <f t="shared" ref="V123:V186" si="67">SUM(R123:U123)</f>
        <v>409.67741935483866</v>
      </c>
      <c r="W123" s="13">
        <f t="shared" si="46"/>
        <v>5264.645161290322</v>
      </c>
      <c r="Y123" s="13">
        <f t="shared" si="53"/>
        <v>5264.645161290322</v>
      </c>
      <c r="Z123" s="12">
        <f t="shared" si="54"/>
        <v>339.35483870967744</v>
      </c>
      <c r="AA123" s="12">
        <f t="shared" si="47"/>
        <v>270</v>
      </c>
      <c r="AB123" s="1">
        <f t="shared" si="55"/>
        <v>0</v>
      </c>
      <c r="AC123" s="16">
        <f t="shared" si="60"/>
        <v>609.35483870967744</v>
      </c>
      <c r="AD123" s="16">
        <f t="shared" si="48"/>
        <v>6283.6774193548381</v>
      </c>
    </row>
    <row r="124" spans="1:30" x14ac:dyDescent="0.2">
      <c r="A124" s="10" t="s">
        <v>849</v>
      </c>
      <c r="B124" s="11">
        <f t="shared" si="56"/>
        <v>102</v>
      </c>
      <c r="C124" s="11" t="s">
        <v>1187</v>
      </c>
      <c r="D124" s="11" t="s">
        <v>51</v>
      </c>
      <c r="E124" s="19" t="s">
        <v>658</v>
      </c>
      <c r="F124" s="22">
        <v>42991</v>
      </c>
      <c r="G124" s="11">
        <v>13</v>
      </c>
      <c r="H124" s="13">
        <f>(5000/30)*G124</f>
        <v>2166.6666666666665</v>
      </c>
      <c r="I124" s="13">
        <f t="shared" si="49"/>
        <v>0</v>
      </c>
      <c r="J124" s="13">
        <f t="shared" si="43"/>
        <v>108.33333333333333</v>
      </c>
      <c r="L124" s="13">
        <f>((800)/30)*G124</f>
        <v>346.66666666666669</v>
      </c>
      <c r="N124" s="13">
        <f>((1950+2000+994)/30)*G124</f>
        <v>2142.4</v>
      </c>
      <c r="O124" s="13">
        <v>0</v>
      </c>
      <c r="Q124" s="13">
        <f t="shared" si="51"/>
        <v>4764.0666666666666</v>
      </c>
      <c r="R124" s="12">
        <f t="shared" si="44"/>
        <v>260</v>
      </c>
      <c r="S124" s="12">
        <f t="shared" si="45"/>
        <v>84</v>
      </c>
      <c r="T124" s="21">
        <f t="shared" si="63"/>
        <v>0</v>
      </c>
      <c r="U124" s="13">
        <v>0</v>
      </c>
      <c r="V124" s="13">
        <f t="shared" si="67"/>
        <v>344</v>
      </c>
      <c r="W124" s="13">
        <f t="shared" si="46"/>
        <v>4420.0666666666666</v>
      </c>
      <c r="X124" s="13">
        <f>W124</f>
        <v>4420.0666666666666</v>
      </c>
      <c r="Y124" s="13">
        <f t="shared" si="53"/>
        <v>0</v>
      </c>
      <c r="Z124" s="12">
        <f t="shared" si="54"/>
        <v>284.91666666666669</v>
      </c>
      <c r="AA124" s="12">
        <f t="shared" si="47"/>
        <v>227</v>
      </c>
      <c r="AB124" s="1">
        <f t="shared" si="55"/>
        <v>0</v>
      </c>
      <c r="AC124" s="16">
        <f t="shared" si="60"/>
        <v>511.91666666666669</v>
      </c>
      <c r="AD124" s="16">
        <f t="shared" si="48"/>
        <v>5275.9833333333336</v>
      </c>
    </row>
    <row r="125" spans="1:30" x14ac:dyDescent="0.2">
      <c r="A125" s="10" t="s">
        <v>315</v>
      </c>
      <c r="B125" s="11">
        <f t="shared" si="56"/>
        <v>103</v>
      </c>
      <c r="C125" s="11" t="s">
        <v>1188</v>
      </c>
      <c r="D125" s="19" t="s">
        <v>51</v>
      </c>
      <c r="E125" s="11" t="s">
        <v>658</v>
      </c>
      <c r="F125" s="22">
        <v>42988</v>
      </c>
      <c r="G125" s="11">
        <v>20</v>
      </c>
      <c r="H125" s="13">
        <f t="shared" ref="H125:H188" si="68">(5000/G$3)*G125</f>
        <v>3225.8064516129029</v>
      </c>
      <c r="I125" s="13">
        <f t="shared" si="49"/>
        <v>0</v>
      </c>
      <c r="J125" s="13">
        <f t="shared" si="43"/>
        <v>161.29032258064515</v>
      </c>
      <c r="L125" s="13">
        <f t="shared" ref="L125:L188" si="69">((800)/G$3)*G125</f>
        <v>516.12903225806451</v>
      </c>
      <c r="N125" s="13">
        <f t="shared" ref="N125:N188" si="70">((1950+2000+994)/G$3)*G125</f>
        <v>3189.6774193548385</v>
      </c>
      <c r="O125" s="13">
        <v>0</v>
      </c>
      <c r="Q125" s="13">
        <f t="shared" si="51"/>
        <v>7092.9032258064508</v>
      </c>
      <c r="R125" s="12">
        <f t="shared" si="44"/>
        <v>387.09677419354836</v>
      </c>
      <c r="S125" s="12">
        <f t="shared" si="45"/>
        <v>125</v>
      </c>
      <c r="T125" s="21">
        <f t="shared" si="63"/>
        <v>0</v>
      </c>
      <c r="U125" s="13">
        <v>0</v>
      </c>
      <c r="V125" s="13">
        <f t="shared" si="67"/>
        <v>512.0967741935483</v>
      </c>
      <c r="W125" s="13">
        <f t="shared" si="46"/>
        <v>6580.8064516129025</v>
      </c>
      <c r="Y125" s="13">
        <f t="shared" si="53"/>
        <v>6580.8064516129025</v>
      </c>
      <c r="Z125" s="12">
        <f t="shared" si="54"/>
        <v>424.19354838709677</v>
      </c>
      <c r="AA125" s="12">
        <f t="shared" si="47"/>
        <v>337</v>
      </c>
      <c r="AB125" s="1">
        <f t="shared" si="55"/>
        <v>0</v>
      </c>
      <c r="AC125" s="16">
        <f t="shared" si="60"/>
        <v>761.19354838709683</v>
      </c>
      <c r="AD125" s="16">
        <f t="shared" si="48"/>
        <v>7854.0967741935474</v>
      </c>
    </row>
    <row r="126" spans="1:30" x14ac:dyDescent="0.2">
      <c r="A126" s="10" t="s">
        <v>783</v>
      </c>
      <c r="B126" s="11">
        <f t="shared" si="56"/>
        <v>104</v>
      </c>
      <c r="C126" s="11" t="s">
        <v>453</v>
      </c>
      <c r="D126" s="19" t="s">
        <v>51</v>
      </c>
      <c r="E126" s="11" t="s">
        <v>658</v>
      </c>
      <c r="F126" s="22">
        <v>42895</v>
      </c>
      <c r="G126" s="11">
        <v>15</v>
      </c>
      <c r="H126" s="13">
        <f t="shared" si="68"/>
        <v>2419.3548387096771</v>
      </c>
      <c r="I126" s="13">
        <f t="shared" si="49"/>
        <v>0</v>
      </c>
      <c r="J126" s="13">
        <f t="shared" si="43"/>
        <v>120.96774193548386</v>
      </c>
      <c r="L126" s="13">
        <f t="shared" si="69"/>
        <v>387.09677419354836</v>
      </c>
      <c r="N126" s="13">
        <f t="shared" si="70"/>
        <v>2392.2580645161288</v>
      </c>
      <c r="O126" s="13">
        <v>0</v>
      </c>
      <c r="Q126" s="13">
        <f t="shared" si="51"/>
        <v>5319.6774193548381</v>
      </c>
      <c r="R126" s="12">
        <f t="shared" si="44"/>
        <v>290.32258064516122</v>
      </c>
      <c r="S126" s="12">
        <f t="shared" si="45"/>
        <v>94</v>
      </c>
      <c r="T126" s="21">
        <f t="shared" si="63"/>
        <v>0</v>
      </c>
      <c r="U126" s="13">
        <v>0</v>
      </c>
      <c r="V126" s="13">
        <f t="shared" si="67"/>
        <v>384.32258064516122</v>
      </c>
      <c r="W126" s="13">
        <f t="shared" si="46"/>
        <v>4935.3548387096771</v>
      </c>
      <c r="Y126" s="13">
        <f t="shared" si="53"/>
        <v>4935.3548387096771</v>
      </c>
      <c r="Z126" s="12">
        <f t="shared" si="54"/>
        <v>318.14516129032256</v>
      </c>
      <c r="AA126" s="12">
        <f t="shared" si="47"/>
        <v>253</v>
      </c>
      <c r="AB126" s="1">
        <f t="shared" si="55"/>
        <v>0</v>
      </c>
      <c r="AC126" s="16">
        <f t="shared" si="60"/>
        <v>571.14516129032256</v>
      </c>
      <c r="AD126" s="16">
        <f t="shared" si="48"/>
        <v>5890.822580645161</v>
      </c>
    </row>
    <row r="127" spans="1:30" x14ac:dyDescent="0.2">
      <c r="A127" s="10" t="s">
        <v>1267</v>
      </c>
      <c r="B127" s="11">
        <f t="shared" si="56"/>
        <v>105</v>
      </c>
      <c r="C127" s="11" t="s">
        <v>1009</v>
      </c>
      <c r="D127" s="19" t="s">
        <v>51</v>
      </c>
      <c r="E127" s="19" t="s">
        <v>236</v>
      </c>
      <c r="F127" s="22">
        <v>42961</v>
      </c>
      <c r="G127" s="11">
        <v>1</v>
      </c>
      <c r="H127" s="13">
        <f t="shared" si="68"/>
        <v>161.29032258064515</v>
      </c>
      <c r="I127" s="13">
        <f t="shared" si="49"/>
        <v>0</v>
      </c>
      <c r="J127" s="13">
        <f t="shared" si="43"/>
        <v>8.064516129032258</v>
      </c>
      <c r="L127" s="13">
        <f t="shared" si="69"/>
        <v>25.806451612903224</v>
      </c>
      <c r="N127" s="13">
        <f t="shared" si="70"/>
        <v>159.48387096774192</v>
      </c>
      <c r="O127" s="13">
        <v>0</v>
      </c>
      <c r="Q127" s="13">
        <f t="shared" si="51"/>
        <v>354.64516129032256</v>
      </c>
      <c r="R127" s="12">
        <f t="shared" si="44"/>
        <v>19.354838709677416</v>
      </c>
      <c r="S127" s="12">
        <f t="shared" si="45"/>
        <v>7</v>
      </c>
      <c r="T127" s="21">
        <f t="shared" si="63"/>
        <v>0</v>
      </c>
      <c r="U127" s="13">
        <v>0</v>
      </c>
      <c r="V127" s="13">
        <f t="shared" si="67"/>
        <v>26.354838709677416</v>
      </c>
      <c r="W127" s="13">
        <f t="shared" si="46"/>
        <v>328.29032258064512</v>
      </c>
      <c r="Y127" s="13">
        <f t="shared" si="53"/>
        <v>328.29032258064512</v>
      </c>
      <c r="Z127" s="12">
        <f t="shared" si="54"/>
        <v>21.20967741935484</v>
      </c>
      <c r="AA127" s="12">
        <f t="shared" si="47"/>
        <v>17</v>
      </c>
      <c r="AB127" s="1">
        <f t="shared" si="55"/>
        <v>0</v>
      </c>
      <c r="AC127" s="16">
        <f t="shared" si="60"/>
        <v>38.20967741935484</v>
      </c>
      <c r="AD127" s="16">
        <f t="shared" si="48"/>
        <v>392.85483870967738</v>
      </c>
    </row>
    <row r="128" spans="1:30" x14ac:dyDescent="0.2">
      <c r="A128" s="10" t="s">
        <v>1268</v>
      </c>
      <c r="B128" s="11">
        <f t="shared" si="56"/>
        <v>106</v>
      </c>
      <c r="C128" s="11" t="s">
        <v>1020</v>
      </c>
      <c r="D128" s="19" t="s">
        <v>51</v>
      </c>
      <c r="E128" s="19" t="s">
        <v>236</v>
      </c>
      <c r="F128" s="22">
        <v>42966</v>
      </c>
      <c r="G128" s="11">
        <v>1</v>
      </c>
      <c r="H128" s="13">
        <f t="shared" si="68"/>
        <v>161.29032258064515</v>
      </c>
      <c r="I128" s="13">
        <f t="shared" si="49"/>
        <v>0</v>
      </c>
      <c r="J128" s="13">
        <f t="shared" si="43"/>
        <v>8.064516129032258</v>
      </c>
      <c r="L128" s="13">
        <f t="shared" si="69"/>
        <v>25.806451612903224</v>
      </c>
      <c r="N128" s="13">
        <f t="shared" si="70"/>
        <v>159.48387096774192</v>
      </c>
      <c r="O128" s="13">
        <v>0</v>
      </c>
      <c r="Q128" s="13">
        <f t="shared" si="51"/>
        <v>354.64516129032256</v>
      </c>
      <c r="R128" s="12">
        <f t="shared" si="44"/>
        <v>19.354838709677416</v>
      </c>
      <c r="S128" s="12">
        <f t="shared" si="45"/>
        <v>7</v>
      </c>
      <c r="T128" s="21">
        <f t="shared" si="63"/>
        <v>0</v>
      </c>
      <c r="U128" s="13">
        <v>0</v>
      </c>
      <c r="V128" s="13">
        <f t="shared" si="67"/>
        <v>26.354838709677416</v>
      </c>
      <c r="W128" s="13">
        <f t="shared" si="46"/>
        <v>328.29032258064512</v>
      </c>
      <c r="Y128" s="13">
        <f t="shared" si="53"/>
        <v>328.29032258064512</v>
      </c>
      <c r="Z128" s="12">
        <f t="shared" si="54"/>
        <v>21.20967741935484</v>
      </c>
      <c r="AA128" s="12">
        <f t="shared" si="47"/>
        <v>17</v>
      </c>
      <c r="AB128" s="1">
        <f t="shared" si="55"/>
        <v>0</v>
      </c>
      <c r="AC128" s="16">
        <f t="shared" si="60"/>
        <v>38.20967741935484</v>
      </c>
      <c r="AD128" s="16">
        <f t="shared" si="48"/>
        <v>392.85483870967738</v>
      </c>
    </row>
    <row r="129" spans="1:30" x14ac:dyDescent="0.2">
      <c r="A129" s="10" t="s">
        <v>1269</v>
      </c>
      <c r="B129" s="11">
        <f t="shared" si="56"/>
        <v>107</v>
      </c>
      <c r="C129" s="11" t="s">
        <v>1021</v>
      </c>
      <c r="D129" s="19" t="s">
        <v>51</v>
      </c>
      <c r="E129" s="19" t="s">
        <v>658</v>
      </c>
      <c r="F129" s="22">
        <v>42966</v>
      </c>
      <c r="G129" s="11">
        <v>9</v>
      </c>
      <c r="H129" s="13">
        <f t="shared" si="68"/>
        <v>1451.6129032258063</v>
      </c>
      <c r="I129" s="13">
        <f t="shared" si="49"/>
        <v>0</v>
      </c>
      <c r="J129" s="13">
        <f t="shared" si="43"/>
        <v>72.58064516129032</v>
      </c>
      <c r="L129" s="13">
        <f t="shared" si="69"/>
        <v>232.25806451612902</v>
      </c>
      <c r="N129" s="13">
        <f t="shared" si="70"/>
        <v>1435.3548387096773</v>
      </c>
      <c r="O129" s="13">
        <v>0</v>
      </c>
      <c r="Q129" s="13">
        <f t="shared" si="51"/>
        <v>3191.8064516129029</v>
      </c>
      <c r="R129" s="12">
        <f t="shared" si="44"/>
        <v>174.19354838709677</v>
      </c>
      <c r="S129" s="12">
        <f t="shared" si="45"/>
        <v>56</v>
      </c>
      <c r="T129" s="21">
        <f t="shared" si="63"/>
        <v>0</v>
      </c>
      <c r="U129" s="13">
        <v>0</v>
      </c>
      <c r="V129" s="13">
        <f t="shared" si="67"/>
        <v>230.19354838709677</v>
      </c>
      <c r="W129" s="13">
        <f t="shared" si="46"/>
        <v>2961.6129032258063</v>
      </c>
      <c r="Y129" s="13">
        <f t="shared" si="53"/>
        <v>2961.6129032258063</v>
      </c>
      <c r="Z129" s="12">
        <f t="shared" si="54"/>
        <v>190.88709677419354</v>
      </c>
      <c r="AA129" s="12">
        <f t="shared" si="47"/>
        <v>152</v>
      </c>
      <c r="AB129" s="1">
        <f t="shared" si="55"/>
        <v>0</v>
      </c>
      <c r="AC129" s="16">
        <f t="shared" si="60"/>
        <v>342.88709677419354</v>
      </c>
      <c r="AD129" s="16">
        <f t="shared" si="48"/>
        <v>3534.6935483870966</v>
      </c>
    </row>
    <row r="130" spans="1:30" x14ac:dyDescent="0.2">
      <c r="A130" s="10" t="s">
        <v>315</v>
      </c>
      <c r="B130" s="11">
        <f t="shared" si="56"/>
        <v>108</v>
      </c>
      <c r="C130" s="11" t="s">
        <v>1189</v>
      </c>
      <c r="D130" s="19" t="s">
        <v>51</v>
      </c>
      <c r="E130" s="19"/>
      <c r="F130" s="22">
        <v>42997</v>
      </c>
      <c r="G130" s="11">
        <v>27</v>
      </c>
      <c r="H130" s="13">
        <f t="shared" si="68"/>
        <v>4354.8387096774195</v>
      </c>
      <c r="I130" s="13">
        <f t="shared" si="49"/>
        <v>0</v>
      </c>
      <c r="J130" s="13">
        <f t="shared" si="43"/>
        <v>217.74193548387098</v>
      </c>
      <c r="L130" s="13">
        <f t="shared" si="69"/>
        <v>696.77419354838707</v>
      </c>
      <c r="N130" s="13">
        <f t="shared" si="70"/>
        <v>4306.0645161290322</v>
      </c>
      <c r="O130" s="13">
        <v>0</v>
      </c>
      <c r="Q130" s="13">
        <f t="shared" si="51"/>
        <v>9575.4193548387102</v>
      </c>
      <c r="R130" s="12">
        <f t="shared" si="44"/>
        <v>522.58064516129036</v>
      </c>
      <c r="S130" s="12">
        <f t="shared" si="45"/>
        <v>168</v>
      </c>
      <c r="T130" s="21">
        <f t="shared" si="63"/>
        <v>175</v>
      </c>
      <c r="U130" s="13">
        <v>0</v>
      </c>
      <c r="V130" s="13">
        <f t="shared" si="67"/>
        <v>865.58064516129036</v>
      </c>
      <c r="W130" s="13">
        <f t="shared" si="46"/>
        <v>8709.8387096774204</v>
      </c>
      <c r="Y130" s="13">
        <f t="shared" si="53"/>
        <v>8709.8387096774204</v>
      </c>
      <c r="Z130" s="12">
        <f t="shared" si="54"/>
        <v>572.66129032258073</v>
      </c>
      <c r="AA130" s="12">
        <f t="shared" si="47"/>
        <v>455</v>
      </c>
      <c r="AB130" s="1">
        <f t="shared" si="55"/>
        <v>0</v>
      </c>
      <c r="AC130" s="16">
        <f t="shared" si="60"/>
        <v>1027.6612903225807</v>
      </c>
      <c r="AD130" s="16">
        <f t="shared" si="48"/>
        <v>10603.080645161292</v>
      </c>
    </row>
    <row r="131" spans="1:30" x14ac:dyDescent="0.2">
      <c r="A131" s="10" t="s">
        <v>315</v>
      </c>
      <c r="B131" s="11">
        <f t="shared" si="56"/>
        <v>109</v>
      </c>
      <c r="C131" s="11" t="s">
        <v>1190</v>
      </c>
      <c r="D131" s="19" t="s">
        <v>51</v>
      </c>
      <c r="E131" s="19"/>
      <c r="F131" s="22">
        <v>42997</v>
      </c>
      <c r="G131" s="11">
        <v>29</v>
      </c>
      <c r="H131" s="13">
        <f t="shared" si="68"/>
        <v>4677.4193548387093</v>
      </c>
      <c r="I131" s="13">
        <f t="shared" si="49"/>
        <v>0</v>
      </c>
      <c r="J131" s="13">
        <f t="shared" si="43"/>
        <v>233.87096774193549</v>
      </c>
      <c r="L131" s="13">
        <f t="shared" si="69"/>
        <v>748.38709677419354</v>
      </c>
      <c r="N131" s="13">
        <f>((1950+2000+0)/G$3)*G131</f>
        <v>3695.1612903225805</v>
      </c>
      <c r="O131" s="13">
        <v>0</v>
      </c>
      <c r="Q131" s="13">
        <f t="shared" si="51"/>
        <v>9354.8387096774186</v>
      </c>
      <c r="R131" s="12">
        <f t="shared" si="44"/>
        <v>561.29032258064512</v>
      </c>
      <c r="S131" s="12">
        <f t="shared" si="45"/>
        <v>164</v>
      </c>
      <c r="T131" s="21">
        <f t="shared" si="63"/>
        <v>175</v>
      </c>
      <c r="U131" s="13">
        <v>0</v>
      </c>
      <c r="V131" s="13">
        <f t="shared" si="67"/>
        <v>900.29032258064512</v>
      </c>
      <c r="W131" s="13">
        <f t="shared" si="46"/>
        <v>8454.5483870967728</v>
      </c>
      <c r="Y131" s="13">
        <f t="shared" si="53"/>
        <v>8454.5483870967728</v>
      </c>
      <c r="Z131" s="12">
        <f t="shared" si="54"/>
        <v>615.08064516129025</v>
      </c>
      <c r="AA131" s="12">
        <f t="shared" si="47"/>
        <v>445</v>
      </c>
      <c r="AB131" s="1">
        <f t="shared" si="55"/>
        <v>0</v>
      </c>
      <c r="AC131" s="16">
        <f t="shared" si="60"/>
        <v>1060.0806451612902</v>
      </c>
      <c r="AD131" s="16">
        <f t="shared" si="48"/>
        <v>10414.919354838708</v>
      </c>
    </row>
    <row r="132" spans="1:30" x14ac:dyDescent="0.2">
      <c r="A132" s="10" t="s">
        <v>315</v>
      </c>
      <c r="B132" s="11">
        <f t="shared" si="56"/>
        <v>110</v>
      </c>
      <c r="C132" s="11" t="s">
        <v>1191</v>
      </c>
      <c r="D132" s="19" t="s">
        <v>51</v>
      </c>
      <c r="E132" s="19"/>
      <c r="F132" s="22"/>
      <c r="G132" s="11">
        <v>18</v>
      </c>
      <c r="H132" s="13">
        <f t="shared" si="68"/>
        <v>2903.2258064516127</v>
      </c>
      <c r="I132" s="13">
        <f t="shared" si="49"/>
        <v>0</v>
      </c>
      <c r="J132" s="13">
        <f t="shared" si="43"/>
        <v>145.16129032258064</v>
      </c>
      <c r="L132" s="13">
        <f t="shared" si="69"/>
        <v>464.51612903225805</v>
      </c>
      <c r="N132" s="13">
        <f t="shared" si="70"/>
        <v>2870.7096774193546</v>
      </c>
      <c r="O132" s="13">
        <v>0</v>
      </c>
      <c r="Q132" s="13">
        <f t="shared" si="51"/>
        <v>6383.6129032258059</v>
      </c>
      <c r="R132" s="12">
        <f t="shared" si="44"/>
        <v>348.38709677419354</v>
      </c>
      <c r="S132" s="12">
        <f t="shared" si="45"/>
        <v>112</v>
      </c>
      <c r="T132" s="21">
        <f t="shared" si="63"/>
        <v>0</v>
      </c>
      <c r="U132" s="13">
        <v>0</v>
      </c>
      <c r="V132" s="13">
        <f t="shared" si="67"/>
        <v>460.38709677419354</v>
      </c>
      <c r="W132" s="13">
        <f t="shared" si="46"/>
        <v>5923.2258064516127</v>
      </c>
      <c r="Y132" s="13">
        <f t="shared" si="53"/>
        <v>5923.2258064516127</v>
      </c>
      <c r="Z132" s="12">
        <f t="shared" si="54"/>
        <v>381.77419354838707</v>
      </c>
      <c r="AA132" s="12">
        <f t="shared" si="47"/>
        <v>304</v>
      </c>
      <c r="AB132" s="1">
        <f t="shared" si="55"/>
        <v>0</v>
      </c>
      <c r="AC132" s="16">
        <f t="shared" si="60"/>
        <v>685.77419354838707</v>
      </c>
      <c r="AD132" s="16">
        <f t="shared" si="48"/>
        <v>7069.3870967741932</v>
      </c>
    </row>
    <row r="133" spans="1:30" x14ac:dyDescent="0.2">
      <c r="A133" s="10" t="s">
        <v>315</v>
      </c>
      <c r="B133" s="11">
        <f t="shared" si="56"/>
        <v>111</v>
      </c>
      <c r="C133" s="11" t="s">
        <v>1192</v>
      </c>
      <c r="D133" s="19" t="s">
        <v>51</v>
      </c>
      <c r="E133" s="19" t="s">
        <v>658</v>
      </c>
      <c r="F133" s="22">
        <v>43005</v>
      </c>
      <c r="G133" s="11">
        <v>1</v>
      </c>
      <c r="H133" s="13">
        <f t="shared" si="68"/>
        <v>161.29032258064515</v>
      </c>
      <c r="I133" s="13">
        <f t="shared" si="49"/>
        <v>0</v>
      </c>
      <c r="J133" s="13">
        <f t="shared" si="43"/>
        <v>8.064516129032258</v>
      </c>
      <c r="L133" s="13">
        <f t="shared" si="69"/>
        <v>25.806451612903224</v>
      </c>
      <c r="N133" s="13">
        <f t="shared" si="70"/>
        <v>159.48387096774192</v>
      </c>
      <c r="O133" s="13">
        <v>0</v>
      </c>
      <c r="Q133" s="13">
        <f t="shared" si="51"/>
        <v>354.64516129032256</v>
      </c>
      <c r="R133" s="12">
        <f t="shared" si="44"/>
        <v>19.354838709677416</v>
      </c>
      <c r="S133" s="12">
        <f t="shared" si="45"/>
        <v>7</v>
      </c>
      <c r="T133" s="21">
        <f t="shared" si="63"/>
        <v>0</v>
      </c>
      <c r="U133" s="13">
        <v>0</v>
      </c>
      <c r="V133" s="13">
        <f t="shared" si="67"/>
        <v>26.354838709677416</v>
      </c>
      <c r="W133" s="13">
        <f t="shared" si="46"/>
        <v>328.29032258064512</v>
      </c>
      <c r="Y133" s="13">
        <f t="shared" si="53"/>
        <v>328.29032258064512</v>
      </c>
      <c r="Z133" s="12">
        <f t="shared" si="54"/>
        <v>21.20967741935484</v>
      </c>
      <c r="AA133" s="12">
        <f t="shared" si="47"/>
        <v>17</v>
      </c>
      <c r="AB133" s="1">
        <f t="shared" si="55"/>
        <v>0</v>
      </c>
      <c r="AC133" s="16">
        <f t="shared" si="60"/>
        <v>38.20967741935484</v>
      </c>
      <c r="AD133" s="16">
        <f t="shared" si="48"/>
        <v>392.85483870967738</v>
      </c>
    </row>
    <row r="134" spans="1:30" x14ac:dyDescent="0.2">
      <c r="A134" s="10" t="s">
        <v>792</v>
      </c>
      <c r="B134" s="11">
        <f t="shared" si="56"/>
        <v>112</v>
      </c>
      <c r="C134" s="11" t="s">
        <v>1193</v>
      </c>
      <c r="D134" s="19" t="s">
        <v>51</v>
      </c>
      <c r="E134" s="19" t="s">
        <v>237</v>
      </c>
      <c r="F134" s="22">
        <v>42903</v>
      </c>
      <c r="G134" s="11">
        <v>2</v>
      </c>
      <c r="H134" s="13">
        <f t="shared" si="68"/>
        <v>322.58064516129031</v>
      </c>
      <c r="I134" s="13">
        <f t="shared" si="49"/>
        <v>0</v>
      </c>
      <c r="J134" s="13">
        <f t="shared" ref="J134:J197" si="71">(H134+I134)*5%</f>
        <v>16.129032258064516</v>
      </c>
      <c r="L134" s="13">
        <f t="shared" si="69"/>
        <v>51.612903225806448</v>
      </c>
      <c r="N134" s="13">
        <f t="shared" si="70"/>
        <v>318.96774193548384</v>
      </c>
      <c r="O134" s="13">
        <v>0</v>
      </c>
      <c r="Q134" s="13">
        <f t="shared" si="51"/>
        <v>709.29032258064512</v>
      </c>
      <c r="R134" s="12">
        <f t="shared" ref="R134:R197" si="72">(H134+I134)*12%</f>
        <v>38.709677419354833</v>
      </c>
      <c r="S134" s="12">
        <f t="shared" ref="S134:S197" si="73">ROUNDUP((Q134*1.75%),0)</f>
        <v>13</v>
      </c>
      <c r="T134" s="21">
        <f t="shared" si="63"/>
        <v>0</v>
      </c>
      <c r="U134" s="13">
        <v>0</v>
      </c>
      <c r="V134" s="13">
        <f t="shared" si="67"/>
        <v>51.709677419354833</v>
      </c>
      <c r="W134" s="13">
        <f t="shared" ref="W134:W197" si="74">Q134-V134</f>
        <v>657.58064516129025</v>
      </c>
      <c r="Y134" s="13">
        <f t="shared" si="53"/>
        <v>657.58064516129025</v>
      </c>
      <c r="Z134" s="12">
        <f t="shared" si="54"/>
        <v>42.41935483870968</v>
      </c>
      <c r="AA134" s="12">
        <f t="shared" ref="AA134:AA197" si="75">CEILING((Q134)*4.75%,1)</f>
        <v>34</v>
      </c>
      <c r="AB134" s="1">
        <f t="shared" si="55"/>
        <v>0</v>
      </c>
      <c r="AC134" s="16">
        <f t="shared" si="60"/>
        <v>76.41935483870968</v>
      </c>
      <c r="AD134" s="16">
        <f t="shared" ref="AD134:AD197" si="76">Q134+AC134</f>
        <v>785.70967741935476</v>
      </c>
    </row>
    <row r="135" spans="1:30" x14ac:dyDescent="0.2">
      <c r="A135" s="10" t="s">
        <v>315</v>
      </c>
      <c r="B135" s="11">
        <f t="shared" si="56"/>
        <v>113</v>
      </c>
      <c r="C135" s="11" t="s">
        <v>1194</v>
      </c>
      <c r="D135" s="19" t="s">
        <v>51</v>
      </c>
      <c r="E135" s="19" t="s">
        <v>658</v>
      </c>
      <c r="F135" s="22">
        <v>43010</v>
      </c>
      <c r="G135" s="11">
        <v>1</v>
      </c>
      <c r="H135" s="13">
        <f t="shared" si="68"/>
        <v>161.29032258064515</v>
      </c>
      <c r="I135" s="13">
        <f t="shared" ref="I135:I198" si="77">((0)/G$3)*G135</f>
        <v>0</v>
      </c>
      <c r="J135" s="13">
        <f t="shared" si="71"/>
        <v>8.064516129032258</v>
      </c>
      <c r="L135" s="13">
        <f t="shared" si="69"/>
        <v>25.806451612903224</v>
      </c>
      <c r="N135" s="13">
        <f t="shared" si="70"/>
        <v>159.48387096774192</v>
      </c>
      <c r="O135" s="13">
        <v>0</v>
      </c>
      <c r="Q135" s="13">
        <f t="shared" ref="Q135:Q198" si="78">SUM(H135:P135)</f>
        <v>354.64516129032256</v>
      </c>
      <c r="R135" s="12">
        <f t="shared" si="72"/>
        <v>19.354838709677416</v>
      </c>
      <c r="S135" s="12">
        <f t="shared" si="73"/>
        <v>7</v>
      </c>
      <c r="T135" s="21">
        <f t="shared" si="63"/>
        <v>0</v>
      </c>
      <c r="U135" s="13">
        <v>0</v>
      </c>
      <c r="V135" s="13">
        <f t="shared" si="67"/>
        <v>26.354838709677416</v>
      </c>
      <c r="W135" s="13">
        <f t="shared" si="74"/>
        <v>328.29032258064512</v>
      </c>
      <c r="Y135" s="13">
        <f t="shared" ref="Y135:Y198" si="79">W135-X135</f>
        <v>328.29032258064512</v>
      </c>
      <c r="Z135" s="12">
        <f t="shared" si="54"/>
        <v>21.20967741935484</v>
      </c>
      <c r="AA135" s="12">
        <f t="shared" si="75"/>
        <v>17</v>
      </c>
      <c r="AB135" s="1">
        <f t="shared" ref="AB135:AB198" si="80">U135*3</f>
        <v>0</v>
      </c>
      <c r="AC135" s="16">
        <f t="shared" si="60"/>
        <v>38.20967741935484</v>
      </c>
      <c r="AD135" s="16">
        <f t="shared" si="76"/>
        <v>392.85483870967738</v>
      </c>
    </row>
    <row r="136" spans="1:30" x14ac:dyDescent="0.2">
      <c r="A136" s="10" t="s">
        <v>315</v>
      </c>
      <c r="B136" s="11">
        <f t="shared" ref="B136:B199" si="81">B135+1</f>
        <v>114</v>
      </c>
      <c r="C136" s="11" t="s">
        <v>1195</v>
      </c>
      <c r="D136" s="19" t="s">
        <v>51</v>
      </c>
      <c r="E136" s="19" t="s">
        <v>658</v>
      </c>
      <c r="F136" s="22">
        <v>43010</v>
      </c>
      <c r="G136" s="11">
        <v>24</v>
      </c>
      <c r="H136" s="13">
        <f t="shared" si="68"/>
        <v>3870.9677419354839</v>
      </c>
      <c r="I136" s="13">
        <f t="shared" si="77"/>
        <v>0</v>
      </c>
      <c r="J136" s="13">
        <f t="shared" si="71"/>
        <v>193.54838709677421</v>
      </c>
      <c r="L136" s="13">
        <f t="shared" si="69"/>
        <v>619.35483870967732</v>
      </c>
      <c r="N136" s="13">
        <f t="shared" si="70"/>
        <v>3827.6129032258059</v>
      </c>
      <c r="O136" s="13">
        <v>0</v>
      </c>
      <c r="Q136" s="13">
        <f t="shared" si="78"/>
        <v>8511.4838709677424</v>
      </c>
      <c r="R136" s="12">
        <f t="shared" si="72"/>
        <v>464.51612903225805</v>
      </c>
      <c r="S136" s="12">
        <f t="shared" si="73"/>
        <v>149</v>
      </c>
      <c r="T136" s="21">
        <f t="shared" si="63"/>
        <v>175</v>
      </c>
      <c r="U136" s="13">
        <v>0</v>
      </c>
      <c r="V136" s="13">
        <f t="shared" si="67"/>
        <v>788.51612903225805</v>
      </c>
      <c r="W136" s="13">
        <f t="shared" si="74"/>
        <v>7722.9677419354848</v>
      </c>
      <c r="Y136" s="13">
        <f t="shared" si="79"/>
        <v>7722.9677419354848</v>
      </c>
      <c r="Z136" s="12">
        <f t="shared" si="54"/>
        <v>509.03225806451616</v>
      </c>
      <c r="AA136" s="12">
        <f t="shared" si="75"/>
        <v>405</v>
      </c>
      <c r="AB136" s="1">
        <f t="shared" si="80"/>
        <v>0</v>
      </c>
      <c r="AC136" s="16">
        <f t="shared" si="60"/>
        <v>914.0322580645161</v>
      </c>
      <c r="AD136" s="16">
        <f t="shared" si="76"/>
        <v>9425.5161290322576</v>
      </c>
    </row>
    <row r="137" spans="1:30" x14ac:dyDescent="0.2">
      <c r="A137" s="10" t="s">
        <v>315</v>
      </c>
      <c r="B137" s="11">
        <f t="shared" si="81"/>
        <v>115</v>
      </c>
      <c r="C137" s="11" t="s">
        <v>1196</v>
      </c>
      <c r="D137" s="19" t="s">
        <v>51</v>
      </c>
      <c r="E137" s="19" t="s">
        <v>658</v>
      </c>
      <c r="F137" s="22">
        <v>43010</v>
      </c>
      <c r="G137" s="11">
        <v>18</v>
      </c>
      <c r="H137" s="13">
        <f t="shared" si="68"/>
        <v>2903.2258064516127</v>
      </c>
      <c r="I137" s="13">
        <f t="shared" si="77"/>
        <v>0</v>
      </c>
      <c r="J137" s="13">
        <f t="shared" si="71"/>
        <v>145.16129032258064</v>
      </c>
      <c r="L137" s="13">
        <f t="shared" si="69"/>
        <v>464.51612903225805</v>
      </c>
      <c r="N137" s="13">
        <f t="shared" si="70"/>
        <v>2870.7096774193546</v>
      </c>
      <c r="O137" s="13">
        <v>0</v>
      </c>
      <c r="Q137" s="13">
        <f t="shared" si="78"/>
        <v>6383.6129032258059</v>
      </c>
      <c r="R137" s="12">
        <f t="shared" si="72"/>
        <v>348.38709677419354</v>
      </c>
      <c r="S137" s="12">
        <f t="shared" si="73"/>
        <v>112</v>
      </c>
      <c r="T137" s="21">
        <f t="shared" si="63"/>
        <v>0</v>
      </c>
      <c r="U137" s="13">
        <v>0</v>
      </c>
      <c r="V137" s="13">
        <f t="shared" si="67"/>
        <v>460.38709677419354</v>
      </c>
      <c r="W137" s="13">
        <f t="shared" si="74"/>
        <v>5923.2258064516127</v>
      </c>
      <c r="Y137" s="13">
        <f t="shared" si="79"/>
        <v>5923.2258064516127</v>
      </c>
      <c r="Z137" s="12">
        <f t="shared" si="54"/>
        <v>381.77419354838707</v>
      </c>
      <c r="AA137" s="12">
        <f t="shared" si="75"/>
        <v>304</v>
      </c>
      <c r="AB137" s="1">
        <f t="shared" si="80"/>
        <v>0</v>
      </c>
      <c r="AC137" s="16">
        <f t="shared" si="60"/>
        <v>685.77419354838707</v>
      </c>
      <c r="AD137" s="16">
        <f t="shared" si="76"/>
        <v>7069.3870967741932</v>
      </c>
    </row>
    <row r="138" spans="1:30" x14ac:dyDescent="0.2">
      <c r="A138" s="10" t="s">
        <v>315</v>
      </c>
      <c r="B138" s="11">
        <f t="shared" si="81"/>
        <v>116</v>
      </c>
      <c r="C138" s="11" t="s">
        <v>1197</v>
      </c>
      <c r="D138" s="19" t="s">
        <v>51</v>
      </c>
      <c r="E138" s="19" t="s">
        <v>236</v>
      </c>
      <c r="F138" s="22">
        <v>43010</v>
      </c>
      <c r="G138" s="11">
        <v>26</v>
      </c>
      <c r="H138" s="13">
        <f t="shared" si="68"/>
        <v>4193.5483870967737</v>
      </c>
      <c r="I138" s="13">
        <f t="shared" si="77"/>
        <v>0</v>
      </c>
      <c r="J138" s="13">
        <f t="shared" si="71"/>
        <v>209.67741935483869</v>
      </c>
      <c r="L138" s="13">
        <f t="shared" si="69"/>
        <v>670.96774193548379</v>
      </c>
      <c r="N138" s="13">
        <f>((1950+1000+0)/G$3)*G138</f>
        <v>2474.1935483870966</v>
      </c>
      <c r="O138" s="13">
        <v>0</v>
      </c>
      <c r="Q138" s="13">
        <f t="shared" si="78"/>
        <v>7548.3870967741932</v>
      </c>
      <c r="R138" s="12">
        <f t="shared" si="72"/>
        <v>503.22580645161281</v>
      </c>
      <c r="S138" s="12">
        <f t="shared" si="73"/>
        <v>133</v>
      </c>
      <c r="T138" s="21">
        <f t="shared" si="63"/>
        <v>175</v>
      </c>
      <c r="U138" s="13">
        <v>0</v>
      </c>
      <c r="V138" s="13">
        <f t="shared" si="67"/>
        <v>811.22580645161281</v>
      </c>
      <c r="W138" s="13">
        <f t="shared" si="74"/>
        <v>6737.1612903225805</v>
      </c>
      <c r="Y138" s="13">
        <f t="shared" si="79"/>
        <v>6737.1612903225805</v>
      </c>
      <c r="Z138" s="12">
        <f t="shared" si="54"/>
        <v>551.45161290322574</v>
      </c>
      <c r="AA138" s="12">
        <f t="shared" si="75"/>
        <v>359</v>
      </c>
      <c r="AB138" s="1">
        <f t="shared" si="80"/>
        <v>0</v>
      </c>
      <c r="AC138" s="16">
        <f t="shared" si="60"/>
        <v>910.45161290322574</v>
      </c>
      <c r="AD138" s="16">
        <f t="shared" si="76"/>
        <v>8458.8387096774186</v>
      </c>
    </row>
    <row r="139" spans="1:30" x14ac:dyDescent="0.2">
      <c r="A139" s="10" t="s">
        <v>315</v>
      </c>
      <c r="B139" s="11">
        <f t="shared" si="81"/>
        <v>117</v>
      </c>
      <c r="C139" s="11" t="s">
        <v>1198</v>
      </c>
      <c r="D139" s="19" t="s">
        <v>51</v>
      </c>
      <c r="E139" s="19" t="s">
        <v>658</v>
      </c>
      <c r="F139" s="22">
        <v>43010</v>
      </c>
      <c r="G139" s="11">
        <v>1</v>
      </c>
      <c r="H139" s="13">
        <f t="shared" si="68"/>
        <v>161.29032258064515</v>
      </c>
      <c r="I139" s="13">
        <f t="shared" si="77"/>
        <v>0</v>
      </c>
      <c r="J139" s="13">
        <f t="shared" si="71"/>
        <v>8.064516129032258</v>
      </c>
      <c r="L139" s="13">
        <f t="shared" si="69"/>
        <v>25.806451612903224</v>
      </c>
      <c r="N139" s="13">
        <f t="shared" si="70"/>
        <v>159.48387096774192</v>
      </c>
      <c r="O139" s="13">
        <v>0</v>
      </c>
      <c r="Q139" s="13">
        <f t="shared" si="78"/>
        <v>354.64516129032256</v>
      </c>
      <c r="R139" s="12">
        <f t="shared" si="72"/>
        <v>19.354838709677416</v>
      </c>
      <c r="S139" s="12">
        <f t="shared" si="73"/>
        <v>7</v>
      </c>
      <c r="T139" s="21">
        <f t="shared" si="63"/>
        <v>0</v>
      </c>
      <c r="U139" s="13">
        <v>0</v>
      </c>
      <c r="V139" s="13">
        <f t="shared" si="67"/>
        <v>26.354838709677416</v>
      </c>
      <c r="W139" s="13">
        <f t="shared" si="74"/>
        <v>328.29032258064512</v>
      </c>
      <c r="Y139" s="13">
        <f t="shared" si="79"/>
        <v>328.29032258064512</v>
      </c>
      <c r="Z139" s="12">
        <f t="shared" si="54"/>
        <v>21.20967741935484</v>
      </c>
      <c r="AA139" s="12">
        <f t="shared" si="75"/>
        <v>17</v>
      </c>
      <c r="AB139" s="1">
        <f t="shared" si="80"/>
        <v>0</v>
      </c>
      <c r="AC139" s="16">
        <f t="shared" si="60"/>
        <v>38.20967741935484</v>
      </c>
      <c r="AD139" s="16">
        <f t="shared" si="76"/>
        <v>392.85483870967738</v>
      </c>
    </row>
    <row r="140" spans="1:30" x14ac:dyDescent="0.2">
      <c r="A140" s="10" t="s">
        <v>315</v>
      </c>
      <c r="B140" s="11">
        <f t="shared" si="81"/>
        <v>118</v>
      </c>
      <c r="C140" s="11" t="s">
        <v>1199</v>
      </c>
      <c r="D140" s="19" t="s">
        <v>51</v>
      </c>
      <c r="E140" s="19" t="s">
        <v>658</v>
      </c>
      <c r="F140" s="22">
        <v>43010</v>
      </c>
      <c r="G140" s="11">
        <v>1</v>
      </c>
      <c r="H140" s="13">
        <f t="shared" si="68"/>
        <v>161.29032258064515</v>
      </c>
      <c r="I140" s="13">
        <f t="shared" si="77"/>
        <v>0</v>
      </c>
      <c r="J140" s="13">
        <f t="shared" si="71"/>
        <v>8.064516129032258</v>
      </c>
      <c r="L140" s="13">
        <f t="shared" si="69"/>
        <v>25.806451612903224</v>
      </c>
      <c r="N140" s="13">
        <f t="shared" si="70"/>
        <v>159.48387096774192</v>
      </c>
      <c r="O140" s="13">
        <v>0</v>
      </c>
      <c r="Q140" s="13">
        <f t="shared" si="78"/>
        <v>354.64516129032256</v>
      </c>
      <c r="R140" s="12">
        <f t="shared" si="72"/>
        <v>19.354838709677416</v>
      </c>
      <c r="S140" s="12">
        <f t="shared" si="73"/>
        <v>7</v>
      </c>
      <c r="T140" s="21">
        <f t="shared" si="63"/>
        <v>0</v>
      </c>
      <c r="U140" s="13">
        <v>0</v>
      </c>
      <c r="V140" s="13">
        <f t="shared" si="67"/>
        <v>26.354838709677416</v>
      </c>
      <c r="W140" s="13">
        <f t="shared" si="74"/>
        <v>328.29032258064512</v>
      </c>
      <c r="Y140" s="13">
        <f t="shared" si="79"/>
        <v>328.29032258064512</v>
      </c>
      <c r="Z140" s="12">
        <f t="shared" si="54"/>
        <v>21.20967741935484</v>
      </c>
      <c r="AA140" s="12">
        <f t="shared" si="75"/>
        <v>17</v>
      </c>
      <c r="AB140" s="1">
        <f t="shared" si="80"/>
        <v>0</v>
      </c>
      <c r="AC140" s="16">
        <f t="shared" si="60"/>
        <v>38.20967741935484</v>
      </c>
      <c r="AD140" s="16">
        <f t="shared" si="76"/>
        <v>392.85483870967738</v>
      </c>
    </row>
    <row r="141" spans="1:30" x14ac:dyDescent="0.2">
      <c r="A141" s="10" t="s">
        <v>315</v>
      </c>
      <c r="B141" s="11">
        <f t="shared" si="81"/>
        <v>119</v>
      </c>
      <c r="C141" s="11" t="s">
        <v>1200</v>
      </c>
      <c r="D141" s="19" t="s">
        <v>51</v>
      </c>
      <c r="E141" s="19" t="s">
        <v>658</v>
      </c>
      <c r="F141" s="22">
        <v>43011</v>
      </c>
      <c r="G141" s="11">
        <v>18</v>
      </c>
      <c r="H141" s="13">
        <f t="shared" si="68"/>
        <v>2903.2258064516127</v>
      </c>
      <c r="I141" s="13">
        <f t="shared" si="77"/>
        <v>0</v>
      </c>
      <c r="J141" s="13">
        <f t="shared" si="71"/>
        <v>145.16129032258064</v>
      </c>
      <c r="L141" s="13">
        <f t="shared" si="69"/>
        <v>464.51612903225805</v>
      </c>
      <c r="N141" s="13">
        <f t="shared" si="70"/>
        <v>2870.7096774193546</v>
      </c>
      <c r="O141" s="13">
        <v>0</v>
      </c>
      <c r="Q141" s="13">
        <f t="shared" si="78"/>
        <v>6383.6129032258059</v>
      </c>
      <c r="R141" s="12">
        <f t="shared" si="72"/>
        <v>348.38709677419354</v>
      </c>
      <c r="S141" s="12">
        <f t="shared" si="73"/>
        <v>112</v>
      </c>
      <c r="T141" s="21">
        <f t="shared" si="63"/>
        <v>0</v>
      </c>
      <c r="U141" s="13">
        <v>0</v>
      </c>
      <c r="V141" s="13">
        <f t="shared" si="67"/>
        <v>460.38709677419354</v>
      </c>
      <c r="W141" s="13">
        <f t="shared" si="74"/>
        <v>5923.2258064516127</v>
      </c>
      <c r="Y141" s="13">
        <f t="shared" si="79"/>
        <v>5923.2258064516127</v>
      </c>
      <c r="Z141" s="12">
        <f t="shared" si="54"/>
        <v>381.77419354838707</v>
      </c>
      <c r="AA141" s="12">
        <f t="shared" si="75"/>
        <v>304</v>
      </c>
      <c r="AB141" s="1">
        <f t="shared" si="80"/>
        <v>0</v>
      </c>
      <c r="AC141" s="16">
        <f t="shared" si="60"/>
        <v>685.77419354838707</v>
      </c>
      <c r="AD141" s="16">
        <f t="shared" si="76"/>
        <v>7069.3870967741932</v>
      </c>
    </row>
    <row r="142" spans="1:30" x14ac:dyDescent="0.2">
      <c r="A142" s="10" t="s">
        <v>315</v>
      </c>
      <c r="B142" s="11">
        <f t="shared" si="81"/>
        <v>120</v>
      </c>
      <c r="C142" s="11" t="s">
        <v>1201</v>
      </c>
      <c r="D142" s="19" t="s">
        <v>51</v>
      </c>
      <c r="E142" s="19" t="s">
        <v>658</v>
      </c>
      <c r="F142" s="22">
        <v>43011</v>
      </c>
      <c r="G142" s="11">
        <v>19</v>
      </c>
      <c r="H142" s="13">
        <f t="shared" si="68"/>
        <v>3064.516129032258</v>
      </c>
      <c r="I142" s="13">
        <f t="shared" si="77"/>
        <v>0</v>
      </c>
      <c r="J142" s="13">
        <f t="shared" si="71"/>
        <v>153.2258064516129</v>
      </c>
      <c r="L142" s="13">
        <f t="shared" si="69"/>
        <v>490.32258064516128</v>
      </c>
      <c r="N142" s="13">
        <f t="shared" si="70"/>
        <v>3030.1935483870966</v>
      </c>
      <c r="O142" s="13">
        <v>0</v>
      </c>
      <c r="Q142" s="13">
        <f t="shared" si="78"/>
        <v>6738.2580645161288</v>
      </c>
      <c r="R142" s="12">
        <f t="shared" si="72"/>
        <v>367.74193548387098</v>
      </c>
      <c r="S142" s="12">
        <f t="shared" si="73"/>
        <v>118</v>
      </c>
      <c r="T142" s="21">
        <f t="shared" si="63"/>
        <v>0</v>
      </c>
      <c r="U142" s="13">
        <v>0</v>
      </c>
      <c r="V142" s="13">
        <f t="shared" si="67"/>
        <v>485.74193548387098</v>
      </c>
      <c r="W142" s="13">
        <f t="shared" si="74"/>
        <v>6252.5161290322576</v>
      </c>
      <c r="Y142" s="13">
        <f t="shared" si="79"/>
        <v>6252.5161290322576</v>
      </c>
      <c r="Z142" s="12">
        <f t="shared" si="54"/>
        <v>402.98387096774195</v>
      </c>
      <c r="AA142" s="12">
        <f t="shared" si="75"/>
        <v>321</v>
      </c>
      <c r="AB142" s="1">
        <f t="shared" si="80"/>
        <v>0</v>
      </c>
      <c r="AC142" s="16">
        <f t="shared" si="60"/>
        <v>723.98387096774195</v>
      </c>
      <c r="AD142" s="16">
        <f t="shared" si="76"/>
        <v>7462.2419354838712</v>
      </c>
    </row>
    <row r="143" spans="1:30" x14ac:dyDescent="0.2">
      <c r="A143" s="10" t="s">
        <v>315</v>
      </c>
      <c r="B143" s="11">
        <f t="shared" si="81"/>
        <v>121</v>
      </c>
      <c r="C143" s="11" t="s">
        <v>1202</v>
      </c>
      <c r="D143" s="19" t="s">
        <v>51</v>
      </c>
      <c r="E143" s="19" t="s">
        <v>658</v>
      </c>
      <c r="F143" s="22">
        <v>43012</v>
      </c>
      <c r="G143" s="11">
        <v>29</v>
      </c>
      <c r="H143" s="13">
        <f t="shared" si="68"/>
        <v>4677.4193548387093</v>
      </c>
      <c r="I143" s="13">
        <f t="shared" si="77"/>
        <v>0</v>
      </c>
      <c r="J143" s="13">
        <f t="shared" si="71"/>
        <v>233.87096774193549</v>
      </c>
      <c r="L143" s="13">
        <f t="shared" si="69"/>
        <v>748.38709677419354</v>
      </c>
      <c r="N143" s="13">
        <f t="shared" si="70"/>
        <v>4625.0322580645161</v>
      </c>
      <c r="O143" s="13">
        <v>0</v>
      </c>
      <c r="Q143" s="13">
        <f t="shared" si="78"/>
        <v>10284.709677419354</v>
      </c>
      <c r="R143" s="12">
        <f t="shared" si="72"/>
        <v>561.29032258064512</v>
      </c>
      <c r="S143" s="12">
        <f t="shared" si="73"/>
        <v>180</v>
      </c>
      <c r="T143" s="21">
        <f t="shared" si="63"/>
        <v>200</v>
      </c>
      <c r="U143" s="13">
        <v>0</v>
      </c>
      <c r="V143" s="13">
        <f t="shared" si="67"/>
        <v>941.29032258064512</v>
      </c>
      <c r="W143" s="13">
        <f t="shared" si="74"/>
        <v>9343.4193548387084</v>
      </c>
      <c r="Y143" s="13">
        <f t="shared" si="79"/>
        <v>9343.4193548387084</v>
      </c>
      <c r="Z143" s="12">
        <f t="shared" si="54"/>
        <v>615.08064516129025</v>
      </c>
      <c r="AA143" s="12">
        <f t="shared" si="75"/>
        <v>489</v>
      </c>
      <c r="AB143" s="1">
        <f t="shared" si="80"/>
        <v>0</v>
      </c>
      <c r="AC143" s="16">
        <f t="shared" si="60"/>
        <v>1104.0806451612902</v>
      </c>
      <c r="AD143" s="16">
        <f t="shared" si="76"/>
        <v>11388.790322580644</v>
      </c>
    </row>
    <row r="144" spans="1:30" x14ac:dyDescent="0.2">
      <c r="A144" s="10" t="s">
        <v>315</v>
      </c>
      <c r="B144" s="11">
        <f t="shared" si="81"/>
        <v>122</v>
      </c>
      <c r="C144" s="11" t="s">
        <v>1203</v>
      </c>
      <c r="D144" s="19" t="s">
        <v>51</v>
      </c>
      <c r="E144" s="19" t="s">
        <v>658</v>
      </c>
      <c r="F144" s="22">
        <v>43012</v>
      </c>
      <c r="G144" s="11">
        <v>1</v>
      </c>
      <c r="H144" s="13">
        <f t="shared" si="68"/>
        <v>161.29032258064515</v>
      </c>
      <c r="I144" s="13">
        <f t="shared" si="77"/>
        <v>0</v>
      </c>
      <c r="J144" s="13">
        <f t="shared" si="71"/>
        <v>8.064516129032258</v>
      </c>
      <c r="L144" s="13">
        <f t="shared" si="69"/>
        <v>25.806451612903224</v>
      </c>
      <c r="N144" s="13">
        <f t="shared" si="70"/>
        <v>159.48387096774192</v>
      </c>
      <c r="O144" s="13">
        <v>0</v>
      </c>
      <c r="Q144" s="13">
        <f t="shared" si="78"/>
        <v>354.64516129032256</v>
      </c>
      <c r="R144" s="12">
        <f t="shared" si="72"/>
        <v>19.354838709677416</v>
      </c>
      <c r="S144" s="12">
        <f t="shared" si="73"/>
        <v>7</v>
      </c>
      <c r="T144" s="21">
        <f t="shared" si="63"/>
        <v>0</v>
      </c>
      <c r="U144" s="13">
        <v>0</v>
      </c>
      <c r="V144" s="13">
        <f t="shared" si="67"/>
        <v>26.354838709677416</v>
      </c>
      <c r="W144" s="13">
        <f t="shared" si="74"/>
        <v>328.29032258064512</v>
      </c>
      <c r="Y144" s="13">
        <f t="shared" si="79"/>
        <v>328.29032258064512</v>
      </c>
      <c r="Z144" s="12">
        <f t="shared" si="54"/>
        <v>21.20967741935484</v>
      </c>
      <c r="AA144" s="12">
        <f t="shared" si="75"/>
        <v>17</v>
      </c>
      <c r="AB144" s="1">
        <f t="shared" si="80"/>
        <v>0</v>
      </c>
      <c r="AC144" s="16">
        <f t="shared" si="60"/>
        <v>38.20967741935484</v>
      </c>
      <c r="AD144" s="16">
        <f t="shared" si="76"/>
        <v>392.85483870967738</v>
      </c>
    </row>
    <row r="145" spans="1:30" x14ac:dyDescent="0.2">
      <c r="A145" s="10" t="s">
        <v>315</v>
      </c>
      <c r="B145" s="11">
        <f t="shared" si="81"/>
        <v>123</v>
      </c>
      <c r="C145" s="11" t="s">
        <v>1204</v>
      </c>
      <c r="D145" s="19" t="s">
        <v>51</v>
      </c>
      <c r="E145" s="19" t="s">
        <v>658</v>
      </c>
      <c r="F145" s="22">
        <v>43012</v>
      </c>
      <c r="G145" s="11">
        <v>1</v>
      </c>
      <c r="H145" s="13">
        <f t="shared" si="68"/>
        <v>161.29032258064515</v>
      </c>
      <c r="I145" s="13">
        <f t="shared" si="77"/>
        <v>0</v>
      </c>
      <c r="J145" s="13">
        <f t="shared" si="71"/>
        <v>8.064516129032258</v>
      </c>
      <c r="L145" s="13">
        <f t="shared" si="69"/>
        <v>25.806451612903224</v>
      </c>
      <c r="N145" s="13">
        <f t="shared" si="70"/>
        <v>159.48387096774192</v>
      </c>
      <c r="O145" s="13">
        <v>0</v>
      </c>
      <c r="Q145" s="13">
        <f t="shared" si="78"/>
        <v>354.64516129032256</v>
      </c>
      <c r="R145" s="12">
        <f t="shared" si="72"/>
        <v>19.354838709677416</v>
      </c>
      <c r="S145" s="12">
        <f t="shared" si="73"/>
        <v>7</v>
      </c>
      <c r="T145" s="21">
        <f t="shared" si="63"/>
        <v>0</v>
      </c>
      <c r="U145" s="13">
        <v>0</v>
      </c>
      <c r="V145" s="13">
        <f t="shared" si="67"/>
        <v>26.354838709677416</v>
      </c>
      <c r="W145" s="13">
        <f t="shared" si="74"/>
        <v>328.29032258064512</v>
      </c>
      <c r="Y145" s="13">
        <f t="shared" si="79"/>
        <v>328.29032258064512</v>
      </c>
      <c r="Z145" s="12">
        <f t="shared" si="54"/>
        <v>21.20967741935484</v>
      </c>
      <c r="AA145" s="12">
        <f t="shared" si="75"/>
        <v>17</v>
      </c>
      <c r="AB145" s="1">
        <f t="shared" si="80"/>
        <v>0</v>
      </c>
      <c r="AC145" s="16">
        <f t="shared" si="60"/>
        <v>38.20967741935484</v>
      </c>
      <c r="AD145" s="16">
        <f t="shared" si="76"/>
        <v>392.85483870967738</v>
      </c>
    </row>
    <row r="146" spans="1:30" x14ac:dyDescent="0.2">
      <c r="A146" s="10" t="s">
        <v>315</v>
      </c>
      <c r="B146" s="11">
        <f t="shared" si="81"/>
        <v>124</v>
      </c>
      <c r="C146" s="11" t="s">
        <v>1205</v>
      </c>
      <c r="D146" s="19" t="s">
        <v>51</v>
      </c>
      <c r="E146" s="19" t="s">
        <v>658</v>
      </c>
      <c r="F146" s="22">
        <v>43012</v>
      </c>
      <c r="G146" s="11">
        <v>6</v>
      </c>
      <c r="H146" s="13">
        <f t="shared" si="68"/>
        <v>967.74193548387098</v>
      </c>
      <c r="I146" s="13">
        <f t="shared" si="77"/>
        <v>0</v>
      </c>
      <c r="J146" s="13">
        <f t="shared" si="71"/>
        <v>48.387096774193552</v>
      </c>
      <c r="L146" s="13">
        <f t="shared" si="69"/>
        <v>154.83870967741933</v>
      </c>
      <c r="N146" s="13">
        <f t="shared" si="70"/>
        <v>956.90322580645147</v>
      </c>
      <c r="O146" s="13">
        <v>0</v>
      </c>
      <c r="Q146" s="13">
        <f t="shared" si="78"/>
        <v>2127.8709677419356</v>
      </c>
      <c r="R146" s="12">
        <f t="shared" si="72"/>
        <v>116.12903225806451</v>
      </c>
      <c r="S146" s="12">
        <f t="shared" si="73"/>
        <v>38</v>
      </c>
      <c r="T146" s="21">
        <f t="shared" si="63"/>
        <v>0</v>
      </c>
      <c r="U146" s="13">
        <v>0</v>
      </c>
      <c r="V146" s="13">
        <f t="shared" si="67"/>
        <v>154.12903225806451</v>
      </c>
      <c r="W146" s="13">
        <f t="shared" si="74"/>
        <v>1973.7419354838712</v>
      </c>
      <c r="Y146" s="13">
        <f t="shared" si="79"/>
        <v>1973.7419354838712</v>
      </c>
      <c r="Z146" s="12">
        <f t="shared" si="54"/>
        <v>127.25806451612904</v>
      </c>
      <c r="AA146" s="12">
        <f t="shared" si="75"/>
        <v>102</v>
      </c>
      <c r="AB146" s="1">
        <f t="shared" si="80"/>
        <v>0</v>
      </c>
      <c r="AC146" s="16">
        <f t="shared" si="60"/>
        <v>229.25806451612902</v>
      </c>
      <c r="AD146" s="16">
        <f t="shared" si="76"/>
        <v>2357.1290322580644</v>
      </c>
    </row>
    <row r="147" spans="1:30" x14ac:dyDescent="0.2">
      <c r="A147" s="10" t="s">
        <v>315</v>
      </c>
      <c r="B147" s="11">
        <f t="shared" si="81"/>
        <v>125</v>
      </c>
      <c r="C147" s="11" t="s">
        <v>1206</v>
      </c>
      <c r="D147" s="19" t="s">
        <v>51</v>
      </c>
      <c r="E147" s="19" t="s">
        <v>1374</v>
      </c>
      <c r="F147" s="22">
        <v>43013</v>
      </c>
      <c r="G147" s="11">
        <v>26</v>
      </c>
      <c r="H147" s="13">
        <f t="shared" si="68"/>
        <v>4193.5483870967737</v>
      </c>
      <c r="I147" s="13">
        <f t="shared" si="77"/>
        <v>0</v>
      </c>
      <c r="J147" s="13">
        <f t="shared" si="71"/>
        <v>209.67741935483869</v>
      </c>
      <c r="L147" s="13">
        <f t="shared" si="69"/>
        <v>670.96774193548379</v>
      </c>
      <c r="N147" s="13">
        <f>((1950+2000+5000)/G$3)*G147</f>
        <v>7506.4516129032254</v>
      </c>
      <c r="O147" s="13">
        <v>0</v>
      </c>
      <c r="Q147" s="13">
        <f t="shared" si="78"/>
        <v>12580.645161290322</v>
      </c>
      <c r="R147" s="12">
        <f t="shared" si="72"/>
        <v>503.22580645161281</v>
      </c>
      <c r="S147" s="12">
        <f t="shared" si="73"/>
        <v>221</v>
      </c>
      <c r="T147" s="21">
        <f t="shared" si="63"/>
        <v>200</v>
      </c>
      <c r="U147" s="13">
        <v>0</v>
      </c>
      <c r="V147" s="13">
        <f t="shared" si="67"/>
        <v>924.22580645161281</v>
      </c>
      <c r="W147" s="13">
        <f t="shared" si="74"/>
        <v>11656.419354838708</v>
      </c>
      <c r="Y147" s="13">
        <f t="shared" si="79"/>
        <v>11656.419354838708</v>
      </c>
      <c r="Z147" s="12">
        <f t="shared" si="54"/>
        <v>551.45161290322574</v>
      </c>
      <c r="AA147" s="12">
        <f t="shared" si="75"/>
        <v>598</v>
      </c>
      <c r="AB147" s="1">
        <f t="shared" si="80"/>
        <v>0</v>
      </c>
      <c r="AC147" s="16">
        <f t="shared" si="60"/>
        <v>1149.4516129032259</v>
      </c>
      <c r="AD147" s="16">
        <f t="shared" si="76"/>
        <v>13730.096774193547</v>
      </c>
    </row>
    <row r="148" spans="1:30" x14ac:dyDescent="0.2">
      <c r="A148" s="10" t="s">
        <v>315</v>
      </c>
      <c r="B148" s="11">
        <f t="shared" si="81"/>
        <v>126</v>
      </c>
      <c r="C148" s="11" t="s">
        <v>1207</v>
      </c>
      <c r="D148" s="19" t="s">
        <v>51</v>
      </c>
      <c r="E148" s="19" t="s">
        <v>658</v>
      </c>
      <c r="F148" s="22">
        <v>43013</v>
      </c>
      <c r="G148" s="11">
        <v>25</v>
      </c>
      <c r="H148" s="13">
        <f t="shared" si="68"/>
        <v>4032.2580645161288</v>
      </c>
      <c r="I148" s="13">
        <f t="shared" si="77"/>
        <v>0</v>
      </c>
      <c r="J148" s="13">
        <f t="shared" si="71"/>
        <v>201.61290322580646</v>
      </c>
      <c r="L148" s="13">
        <f t="shared" si="69"/>
        <v>645.16129032258061</v>
      </c>
      <c r="N148" s="13">
        <f t="shared" si="70"/>
        <v>3987.0967741935478</v>
      </c>
      <c r="O148" s="13">
        <v>0</v>
      </c>
      <c r="Q148" s="13">
        <f t="shared" si="78"/>
        <v>8866.1290322580644</v>
      </c>
      <c r="R148" s="12">
        <f t="shared" si="72"/>
        <v>483.87096774193543</v>
      </c>
      <c r="S148" s="12">
        <f t="shared" si="73"/>
        <v>156</v>
      </c>
      <c r="T148" s="21">
        <f t="shared" si="63"/>
        <v>175</v>
      </c>
      <c r="U148" s="13">
        <v>0</v>
      </c>
      <c r="V148" s="13">
        <f t="shared" si="67"/>
        <v>814.87096774193537</v>
      </c>
      <c r="W148" s="13">
        <f t="shared" si="74"/>
        <v>8051.2580645161288</v>
      </c>
      <c r="Y148" s="13">
        <f t="shared" si="79"/>
        <v>8051.2580645161288</v>
      </c>
      <c r="Z148" s="12">
        <f t="shared" si="54"/>
        <v>530.24193548387098</v>
      </c>
      <c r="AA148" s="12">
        <f t="shared" si="75"/>
        <v>422</v>
      </c>
      <c r="AB148" s="1">
        <f t="shared" si="80"/>
        <v>0</v>
      </c>
      <c r="AC148" s="16">
        <f t="shared" si="60"/>
        <v>952.24193548387098</v>
      </c>
      <c r="AD148" s="16">
        <f t="shared" si="76"/>
        <v>9818.3709677419356</v>
      </c>
    </row>
    <row r="149" spans="1:30" x14ac:dyDescent="0.2">
      <c r="A149" s="10" t="s">
        <v>315</v>
      </c>
      <c r="B149" s="11">
        <f t="shared" si="81"/>
        <v>127</v>
      </c>
      <c r="C149" s="11" t="s">
        <v>1208</v>
      </c>
      <c r="D149" s="19" t="s">
        <v>51</v>
      </c>
      <c r="E149" s="19" t="s">
        <v>658</v>
      </c>
      <c r="F149" s="22">
        <v>43013</v>
      </c>
      <c r="G149" s="11">
        <v>1</v>
      </c>
      <c r="H149" s="13">
        <f t="shared" si="68"/>
        <v>161.29032258064515</v>
      </c>
      <c r="I149" s="13">
        <f t="shared" si="77"/>
        <v>0</v>
      </c>
      <c r="J149" s="13">
        <f t="shared" si="71"/>
        <v>8.064516129032258</v>
      </c>
      <c r="L149" s="13">
        <f t="shared" si="69"/>
        <v>25.806451612903224</v>
      </c>
      <c r="N149" s="13">
        <f t="shared" si="70"/>
        <v>159.48387096774192</v>
      </c>
      <c r="O149" s="13">
        <v>0</v>
      </c>
      <c r="Q149" s="13">
        <f t="shared" si="78"/>
        <v>354.64516129032256</v>
      </c>
      <c r="R149" s="12">
        <f t="shared" si="72"/>
        <v>19.354838709677416</v>
      </c>
      <c r="S149" s="12">
        <f t="shared" si="73"/>
        <v>7</v>
      </c>
      <c r="T149" s="21">
        <f t="shared" si="63"/>
        <v>0</v>
      </c>
      <c r="U149" s="13">
        <v>0</v>
      </c>
      <c r="V149" s="13">
        <f t="shared" si="67"/>
        <v>26.354838709677416</v>
      </c>
      <c r="W149" s="13">
        <f t="shared" si="74"/>
        <v>328.29032258064512</v>
      </c>
      <c r="Y149" s="13">
        <f t="shared" si="79"/>
        <v>328.29032258064512</v>
      </c>
      <c r="Z149" s="12">
        <f t="shared" si="54"/>
        <v>21.20967741935484</v>
      </c>
      <c r="AA149" s="12">
        <f t="shared" si="75"/>
        <v>17</v>
      </c>
      <c r="AB149" s="1">
        <f t="shared" si="80"/>
        <v>0</v>
      </c>
      <c r="AC149" s="16">
        <f t="shared" si="60"/>
        <v>38.20967741935484</v>
      </c>
      <c r="AD149" s="16">
        <f t="shared" si="76"/>
        <v>392.85483870967738</v>
      </c>
    </row>
    <row r="150" spans="1:30" x14ac:dyDescent="0.2">
      <c r="A150" s="10" t="s">
        <v>315</v>
      </c>
      <c r="B150" s="11">
        <f t="shared" si="81"/>
        <v>128</v>
      </c>
      <c r="C150" s="11" t="s">
        <v>1209</v>
      </c>
      <c r="D150" s="19" t="s">
        <v>51</v>
      </c>
      <c r="E150" s="19" t="s">
        <v>658</v>
      </c>
      <c r="F150" s="22">
        <v>43013</v>
      </c>
      <c r="G150" s="11">
        <v>1</v>
      </c>
      <c r="H150" s="13">
        <f t="shared" si="68"/>
        <v>161.29032258064515</v>
      </c>
      <c r="I150" s="13">
        <f t="shared" si="77"/>
        <v>0</v>
      </c>
      <c r="J150" s="13">
        <f t="shared" si="71"/>
        <v>8.064516129032258</v>
      </c>
      <c r="L150" s="13">
        <f t="shared" si="69"/>
        <v>25.806451612903224</v>
      </c>
      <c r="N150" s="13">
        <f t="shared" si="70"/>
        <v>159.48387096774192</v>
      </c>
      <c r="O150" s="13">
        <v>0</v>
      </c>
      <c r="Q150" s="13">
        <f t="shared" si="78"/>
        <v>354.64516129032256</v>
      </c>
      <c r="R150" s="12">
        <f t="shared" si="72"/>
        <v>19.354838709677416</v>
      </c>
      <c r="S150" s="12">
        <f t="shared" si="73"/>
        <v>7</v>
      </c>
      <c r="T150" s="21">
        <f t="shared" si="63"/>
        <v>0</v>
      </c>
      <c r="U150" s="13">
        <v>0</v>
      </c>
      <c r="V150" s="13">
        <f t="shared" si="67"/>
        <v>26.354838709677416</v>
      </c>
      <c r="W150" s="13">
        <f t="shared" si="74"/>
        <v>328.29032258064512</v>
      </c>
      <c r="Y150" s="13">
        <f t="shared" si="79"/>
        <v>328.29032258064512</v>
      </c>
      <c r="Z150" s="12">
        <f t="shared" si="54"/>
        <v>21.20967741935484</v>
      </c>
      <c r="AA150" s="12">
        <f t="shared" si="75"/>
        <v>17</v>
      </c>
      <c r="AB150" s="1">
        <f t="shared" si="80"/>
        <v>0</v>
      </c>
      <c r="AC150" s="16">
        <f t="shared" si="60"/>
        <v>38.20967741935484</v>
      </c>
      <c r="AD150" s="16">
        <f t="shared" si="76"/>
        <v>392.85483870967738</v>
      </c>
    </row>
    <row r="151" spans="1:30" x14ac:dyDescent="0.2">
      <c r="A151" s="10" t="s">
        <v>315</v>
      </c>
      <c r="B151" s="11">
        <f t="shared" si="81"/>
        <v>129</v>
      </c>
      <c r="C151" s="11" t="s">
        <v>1210</v>
      </c>
      <c r="D151" s="19" t="s">
        <v>51</v>
      </c>
      <c r="E151" s="19" t="s">
        <v>658</v>
      </c>
      <c r="F151" s="22">
        <v>43013</v>
      </c>
      <c r="G151" s="11">
        <v>27</v>
      </c>
      <c r="H151" s="13">
        <f t="shared" si="68"/>
        <v>4354.8387096774195</v>
      </c>
      <c r="I151" s="13">
        <f t="shared" si="77"/>
        <v>0</v>
      </c>
      <c r="J151" s="13">
        <f t="shared" si="71"/>
        <v>217.74193548387098</v>
      </c>
      <c r="L151" s="13">
        <f t="shared" si="69"/>
        <v>696.77419354838707</v>
      </c>
      <c r="N151" s="13">
        <f t="shared" si="70"/>
        <v>4306.0645161290322</v>
      </c>
      <c r="O151" s="13">
        <v>0</v>
      </c>
      <c r="Q151" s="13">
        <f t="shared" si="78"/>
        <v>9575.4193548387102</v>
      </c>
      <c r="R151" s="12">
        <f t="shared" si="72"/>
        <v>522.58064516129036</v>
      </c>
      <c r="S151" s="12">
        <f t="shared" si="73"/>
        <v>168</v>
      </c>
      <c r="T151" s="21">
        <f t="shared" si="63"/>
        <v>175</v>
      </c>
      <c r="U151" s="13">
        <v>0</v>
      </c>
      <c r="V151" s="13">
        <f t="shared" si="67"/>
        <v>865.58064516129036</v>
      </c>
      <c r="W151" s="13">
        <f t="shared" si="74"/>
        <v>8709.8387096774204</v>
      </c>
      <c r="X151" s="13">
        <v>400</v>
      </c>
      <c r="Y151" s="13">
        <f t="shared" si="79"/>
        <v>8309.8387096774204</v>
      </c>
      <c r="Z151" s="12">
        <f t="shared" si="54"/>
        <v>572.66129032258073</v>
      </c>
      <c r="AA151" s="12">
        <f t="shared" si="75"/>
        <v>455</v>
      </c>
      <c r="AB151" s="1">
        <f t="shared" si="80"/>
        <v>0</v>
      </c>
      <c r="AC151" s="16">
        <f t="shared" si="60"/>
        <v>1027.6612903225807</v>
      </c>
      <c r="AD151" s="16">
        <f t="shared" si="76"/>
        <v>10603.080645161292</v>
      </c>
    </row>
    <row r="152" spans="1:30" x14ac:dyDescent="0.2">
      <c r="A152" s="10" t="s">
        <v>315</v>
      </c>
      <c r="B152" s="11">
        <f t="shared" si="81"/>
        <v>130</v>
      </c>
      <c r="C152" s="11" t="s">
        <v>1211</v>
      </c>
      <c r="D152" s="19" t="s">
        <v>51</v>
      </c>
      <c r="E152" s="19" t="s">
        <v>658</v>
      </c>
      <c r="F152" s="22">
        <v>43013</v>
      </c>
      <c r="G152" s="11">
        <v>24</v>
      </c>
      <c r="H152" s="13">
        <f t="shared" si="68"/>
        <v>3870.9677419354839</v>
      </c>
      <c r="I152" s="13">
        <f t="shared" si="77"/>
        <v>0</v>
      </c>
      <c r="J152" s="13">
        <f t="shared" si="71"/>
        <v>193.54838709677421</v>
      </c>
      <c r="L152" s="13">
        <f t="shared" si="69"/>
        <v>619.35483870967732</v>
      </c>
      <c r="N152" s="13">
        <f t="shared" si="70"/>
        <v>3827.6129032258059</v>
      </c>
      <c r="O152" s="13">
        <v>0</v>
      </c>
      <c r="Q152" s="13">
        <f t="shared" si="78"/>
        <v>8511.4838709677424</v>
      </c>
      <c r="R152" s="12">
        <f t="shared" si="72"/>
        <v>464.51612903225805</v>
      </c>
      <c r="S152" s="12">
        <f t="shared" si="73"/>
        <v>149</v>
      </c>
      <c r="T152" s="21">
        <f t="shared" si="63"/>
        <v>175</v>
      </c>
      <c r="U152" s="13">
        <v>0</v>
      </c>
      <c r="V152" s="13">
        <f t="shared" si="67"/>
        <v>788.51612903225805</v>
      </c>
      <c r="W152" s="13">
        <f t="shared" si="74"/>
        <v>7722.9677419354848</v>
      </c>
      <c r="X152" s="13">
        <v>400</v>
      </c>
      <c r="Y152" s="13">
        <f t="shared" si="79"/>
        <v>7322.9677419354848</v>
      </c>
      <c r="Z152" s="12">
        <f t="shared" si="54"/>
        <v>509.03225806451616</v>
      </c>
      <c r="AA152" s="12">
        <f t="shared" si="75"/>
        <v>405</v>
      </c>
      <c r="AB152" s="1">
        <f t="shared" si="80"/>
        <v>0</v>
      </c>
      <c r="AC152" s="16">
        <f t="shared" ref="AC152:AC210" si="82">SUM(Z152:AB152)</f>
        <v>914.0322580645161</v>
      </c>
      <c r="AD152" s="16">
        <f t="shared" si="76"/>
        <v>9425.5161290322576</v>
      </c>
    </row>
    <row r="153" spans="1:30" x14ac:dyDescent="0.2">
      <c r="A153" s="10" t="s">
        <v>315</v>
      </c>
      <c r="B153" s="11">
        <f t="shared" si="81"/>
        <v>131</v>
      </c>
      <c r="C153" s="11" t="s">
        <v>1212</v>
      </c>
      <c r="D153" s="19" t="s">
        <v>51</v>
      </c>
      <c r="E153" s="19" t="s">
        <v>658</v>
      </c>
      <c r="F153" s="22">
        <v>43013</v>
      </c>
      <c r="G153" s="11">
        <v>25</v>
      </c>
      <c r="H153" s="13">
        <f t="shared" si="68"/>
        <v>4032.2580645161288</v>
      </c>
      <c r="I153" s="13">
        <f t="shared" si="77"/>
        <v>0</v>
      </c>
      <c r="J153" s="13">
        <f t="shared" si="71"/>
        <v>201.61290322580646</v>
      </c>
      <c r="L153" s="13">
        <f t="shared" si="69"/>
        <v>645.16129032258061</v>
      </c>
      <c r="N153" s="13">
        <f t="shared" si="70"/>
        <v>3987.0967741935478</v>
      </c>
      <c r="O153" s="13">
        <v>0</v>
      </c>
      <c r="Q153" s="13">
        <f t="shared" si="78"/>
        <v>8866.1290322580644</v>
      </c>
      <c r="R153" s="12">
        <f t="shared" si="72"/>
        <v>483.87096774193543</v>
      </c>
      <c r="S153" s="12">
        <f t="shared" si="73"/>
        <v>156</v>
      </c>
      <c r="T153" s="21">
        <f t="shared" si="63"/>
        <v>175</v>
      </c>
      <c r="U153" s="13">
        <v>0</v>
      </c>
      <c r="V153" s="13">
        <f t="shared" si="67"/>
        <v>814.87096774193537</v>
      </c>
      <c r="W153" s="13">
        <f t="shared" si="74"/>
        <v>8051.2580645161288</v>
      </c>
      <c r="X153" s="13">
        <v>400</v>
      </c>
      <c r="Y153" s="13">
        <f t="shared" si="79"/>
        <v>7651.2580645161288</v>
      </c>
      <c r="Z153" s="12">
        <f t="shared" si="54"/>
        <v>530.24193548387098</v>
      </c>
      <c r="AA153" s="12">
        <f t="shared" si="75"/>
        <v>422</v>
      </c>
      <c r="AB153" s="1">
        <f t="shared" si="80"/>
        <v>0</v>
      </c>
      <c r="AC153" s="16">
        <f t="shared" si="82"/>
        <v>952.24193548387098</v>
      </c>
      <c r="AD153" s="16">
        <f t="shared" si="76"/>
        <v>9818.3709677419356</v>
      </c>
    </row>
    <row r="154" spans="1:30" x14ac:dyDescent="0.2">
      <c r="A154" s="10" t="s">
        <v>315</v>
      </c>
      <c r="B154" s="11">
        <f t="shared" si="81"/>
        <v>132</v>
      </c>
      <c r="C154" s="11" t="s">
        <v>1213</v>
      </c>
      <c r="D154" s="19" t="s">
        <v>51</v>
      </c>
      <c r="E154" s="19" t="s">
        <v>1374</v>
      </c>
      <c r="F154" s="22">
        <v>43013</v>
      </c>
      <c r="G154" s="11">
        <v>28</v>
      </c>
      <c r="H154" s="13">
        <f t="shared" si="68"/>
        <v>4516.1290322580644</v>
      </c>
      <c r="I154" s="13">
        <f t="shared" si="77"/>
        <v>0</v>
      </c>
      <c r="J154" s="13">
        <f t="shared" si="71"/>
        <v>225.80645161290323</v>
      </c>
      <c r="L154" s="13">
        <f t="shared" si="69"/>
        <v>722.58064516129025</v>
      </c>
      <c r="N154" s="13">
        <f>((1950+2000+4046)/G$3)*G154</f>
        <v>7222.1935483870966</v>
      </c>
      <c r="O154" s="13">
        <v>0</v>
      </c>
      <c r="Q154" s="13">
        <f t="shared" si="78"/>
        <v>12686.709677419354</v>
      </c>
      <c r="R154" s="12">
        <f t="shared" si="72"/>
        <v>541.93548387096769</v>
      </c>
      <c r="S154" s="12">
        <f t="shared" si="73"/>
        <v>223</v>
      </c>
      <c r="T154" s="21">
        <f t="shared" si="63"/>
        <v>200</v>
      </c>
      <c r="U154" s="13">
        <v>0</v>
      </c>
      <c r="V154" s="13">
        <f t="shared" si="67"/>
        <v>964.93548387096769</v>
      </c>
      <c r="W154" s="13">
        <f t="shared" si="74"/>
        <v>11721.774193548386</v>
      </c>
      <c r="Y154" s="13">
        <f t="shared" si="79"/>
        <v>11721.774193548386</v>
      </c>
      <c r="Z154" s="12">
        <f t="shared" si="54"/>
        <v>593.87096774193549</v>
      </c>
      <c r="AA154" s="12">
        <f t="shared" si="75"/>
        <v>603</v>
      </c>
      <c r="AB154" s="1">
        <f t="shared" si="80"/>
        <v>0</v>
      </c>
      <c r="AC154" s="16">
        <f t="shared" si="82"/>
        <v>1196.8709677419356</v>
      </c>
      <c r="AD154" s="16">
        <f t="shared" si="76"/>
        <v>13883.58064516129</v>
      </c>
    </row>
    <row r="155" spans="1:30" x14ac:dyDescent="0.2">
      <c r="A155" s="10" t="s">
        <v>315</v>
      </c>
      <c r="B155" s="11">
        <f t="shared" si="81"/>
        <v>133</v>
      </c>
      <c r="C155" s="11" t="s">
        <v>1214</v>
      </c>
      <c r="D155" s="19" t="s">
        <v>51</v>
      </c>
      <c r="E155" s="19" t="s">
        <v>658</v>
      </c>
      <c r="F155" s="22">
        <v>43013</v>
      </c>
      <c r="G155" s="11">
        <v>26</v>
      </c>
      <c r="H155" s="13">
        <f t="shared" si="68"/>
        <v>4193.5483870967737</v>
      </c>
      <c r="I155" s="13">
        <f t="shared" si="77"/>
        <v>0</v>
      </c>
      <c r="J155" s="13">
        <f t="shared" si="71"/>
        <v>209.67741935483869</v>
      </c>
      <c r="L155" s="13">
        <f t="shared" si="69"/>
        <v>670.96774193548379</v>
      </c>
      <c r="N155" s="13">
        <f>((1950+2000+4046)/G$3)*G155</f>
        <v>6706.322580645161</v>
      </c>
      <c r="O155" s="13">
        <v>0</v>
      </c>
      <c r="Q155" s="13">
        <f t="shared" si="78"/>
        <v>11780.516129032258</v>
      </c>
      <c r="R155" s="12">
        <f t="shared" si="72"/>
        <v>503.22580645161281</v>
      </c>
      <c r="S155" s="12">
        <f t="shared" si="73"/>
        <v>207</v>
      </c>
      <c r="T155" s="21">
        <f t="shared" si="63"/>
        <v>200</v>
      </c>
      <c r="U155" s="13">
        <v>0</v>
      </c>
      <c r="V155" s="13">
        <f t="shared" si="67"/>
        <v>910.22580645161281</v>
      </c>
      <c r="W155" s="13">
        <f t="shared" si="74"/>
        <v>10870.290322580644</v>
      </c>
      <c r="Y155" s="13">
        <f t="shared" si="79"/>
        <v>10870.290322580644</v>
      </c>
      <c r="Z155" s="12">
        <f t="shared" si="54"/>
        <v>551.45161290322574</v>
      </c>
      <c r="AA155" s="12">
        <f t="shared" si="75"/>
        <v>560</v>
      </c>
      <c r="AB155" s="1">
        <f t="shared" si="80"/>
        <v>0</v>
      </c>
      <c r="AC155" s="16">
        <f t="shared" si="82"/>
        <v>1111.4516129032259</v>
      </c>
      <c r="AD155" s="16">
        <f t="shared" si="76"/>
        <v>12891.967741935483</v>
      </c>
    </row>
    <row r="156" spans="1:30" x14ac:dyDescent="0.2">
      <c r="A156" s="10" t="s">
        <v>315</v>
      </c>
      <c r="B156" s="11">
        <f t="shared" si="81"/>
        <v>134</v>
      </c>
      <c r="C156" s="11" t="s">
        <v>1215</v>
      </c>
      <c r="D156" s="19" t="s">
        <v>51</v>
      </c>
      <c r="E156" s="19" t="s">
        <v>658</v>
      </c>
      <c r="F156" s="22">
        <v>43013</v>
      </c>
      <c r="G156" s="11">
        <v>27</v>
      </c>
      <c r="H156" s="13">
        <f t="shared" si="68"/>
        <v>4354.8387096774195</v>
      </c>
      <c r="I156" s="13">
        <f t="shared" si="77"/>
        <v>0</v>
      </c>
      <c r="J156" s="13">
        <f t="shared" si="71"/>
        <v>217.74193548387098</v>
      </c>
      <c r="L156" s="13">
        <f t="shared" si="69"/>
        <v>696.77419354838707</v>
      </c>
      <c r="N156" s="13">
        <f t="shared" si="70"/>
        <v>4306.0645161290322</v>
      </c>
      <c r="O156" s="13">
        <v>0</v>
      </c>
      <c r="Q156" s="13">
        <f t="shared" si="78"/>
        <v>9575.4193548387102</v>
      </c>
      <c r="R156" s="12">
        <f t="shared" si="72"/>
        <v>522.58064516129036</v>
      </c>
      <c r="S156" s="12">
        <f t="shared" si="73"/>
        <v>168</v>
      </c>
      <c r="T156" s="21">
        <f t="shared" si="63"/>
        <v>175</v>
      </c>
      <c r="U156" s="13">
        <v>0</v>
      </c>
      <c r="V156" s="13">
        <f t="shared" si="67"/>
        <v>865.58064516129036</v>
      </c>
      <c r="W156" s="13">
        <f t="shared" si="74"/>
        <v>8709.8387096774204</v>
      </c>
      <c r="Y156" s="13">
        <f t="shared" si="79"/>
        <v>8709.8387096774204</v>
      </c>
      <c r="Z156" s="12">
        <f t="shared" si="54"/>
        <v>572.66129032258073</v>
      </c>
      <c r="AA156" s="12">
        <f t="shared" si="75"/>
        <v>455</v>
      </c>
      <c r="AB156" s="1">
        <f t="shared" si="80"/>
        <v>0</v>
      </c>
      <c r="AC156" s="16">
        <f t="shared" si="82"/>
        <v>1027.6612903225807</v>
      </c>
      <c r="AD156" s="16">
        <f t="shared" si="76"/>
        <v>10603.080645161292</v>
      </c>
    </row>
    <row r="157" spans="1:30" x14ac:dyDescent="0.2">
      <c r="A157" s="10" t="s">
        <v>315</v>
      </c>
      <c r="B157" s="11">
        <f t="shared" si="81"/>
        <v>135</v>
      </c>
      <c r="C157" s="11" t="s">
        <v>1216</v>
      </c>
      <c r="D157" s="19" t="s">
        <v>51</v>
      </c>
      <c r="E157" s="19" t="s">
        <v>658</v>
      </c>
      <c r="F157" s="22">
        <v>43013</v>
      </c>
      <c r="G157" s="11">
        <v>13</v>
      </c>
      <c r="H157" s="13">
        <f t="shared" si="68"/>
        <v>2096.7741935483868</v>
      </c>
      <c r="I157" s="13">
        <f t="shared" si="77"/>
        <v>0</v>
      </c>
      <c r="J157" s="13">
        <f t="shared" si="71"/>
        <v>104.83870967741935</v>
      </c>
      <c r="L157" s="13">
        <f t="shared" si="69"/>
        <v>335.48387096774189</v>
      </c>
      <c r="N157" s="13">
        <f t="shared" si="70"/>
        <v>2073.2903225806449</v>
      </c>
      <c r="O157" s="13">
        <v>0</v>
      </c>
      <c r="Q157" s="13">
        <f t="shared" si="78"/>
        <v>4610.3870967741932</v>
      </c>
      <c r="R157" s="12">
        <f t="shared" si="72"/>
        <v>251.61290322580641</v>
      </c>
      <c r="S157" s="12">
        <f t="shared" si="73"/>
        <v>81</v>
      </c>
      <c r="T157" s="21">
        <f t="shared" si="63"/>
        <v>0</v>
      </c>
      <c r="U157" s="13">
        <v>0</v>
      </c>
      <c r="V157" s="13">
        <f t="shared" si="67"/>
        <v>332.61290322580641</v>
      </c>
      <c r="W157" s="13">
        <f t="shared" si="74"/>
        <v>4277.7741935483864</v>
      </c>
      <c r="Y157" s="13">
        <f t="shared" si="79"/>
        <v>4277.7741935483864</v>
      </c>
      <c r="Z157" s="12">
        <f t="shared" si="54"/>
        <v>275.72580645161287</v>
      </c>
      <c r="AA157" s="12">
        <f t="shared" si="75"/>
        <v>219</v>
      </c>
      <c r="AB157" s="1">
        <f t="shared" si="80"/>
        <v>0</v>
      </c>
      <c r="AC157" s="16">
        <f t="shared" si="82"/>
        <v>494.72580645161287</v>
      </c>
      <c r="AD157" s="16">
        <f t="shared" si="76"/>
        <v>5105.1129032258059</v>
      </c>
    </row>
    <row r="158" spans="1:30" x14ac:dyDescent="0.2">
      <c r="A158" s="10" t="s">
        <v>315</v>
      </c>
      <c r="B158" s="11">
        <f t="shared" si="81"/>
        <v>136</v>
      </c>
      <c r="C158" s="11" t="s">
        <v>1217</v>
      </c>
      <c r="D158" s="19" t="s">
        <v>51</v>
      </c>
      <c r="E158" s="19" t="s">
        <v>658</v>
      </c>
      <c r="F158" s="22">
        <v>43013</v>
      </c>
      <c r="G158" s="11">
        <v>29</v>
      </c>
      <c r="H158" s="13">
        <f t="shared" si="68"/>
        <v>4677.4193548387093</v>
      </c>
      <c r="I158" s="13">
        <f t="shared" si="77"/>
        <v>0</v>
      </c>
      <c r="J158" s="13">
        <f t="shared" si="71"/>
        <v>233.87096774193549</v>
      </c>
      <c r="L158" s="13">
        <f t="shared" si="69"/>
        <v>748.38709677419354</v>
      </c>
      <c r="N158" s="13">
        <f t="shared" si="70"/>
        <v>4625.0322580645161</v>
      </c>
      <c r="O158" s="13">
        <v>0</v>
      </c>
      <c r="Q158" s="13">
        <f t="shared" si="78"/>
        <v>10284.709677419354</v>
      </c>
      <c r="R158" s="12">
        <f t="shared" si="72"/>
        <v>561.29032258064512</v>
      </c>
      <c r="S158" s="12">
        <f t="shared" si="73"/>
        <v>180</v>
      </c>
      <c r="T158" s="21">
        <f t="shared" si="63"/>
        <v>200</v>
      </c>
      <c r="U158" s="13">
        <v>0</v>
      </c>
      <c r="V158" s="13">
        <f t="shared" si="67"/>
        <v>941.29032258064512</v>
      </c>
      <c r="W158" s="13">
        <f t="shared" si="74"/>
        <v>9343.4193548387084</v>
      </c>
      <c r="Y158" s="13">
        <f t="shared" si="79"/>
        <v>9343.4193548387084</v>
      </c>
      <c r="Z158" s="12">
        <f t="shared" si="54"/>
        <v>615.08064516129025</v>
      </c>
      <c r="AA158" s="12">
        <f t="shared" si="75"/>
        <v>489</v>
      </c>
      <c r="AB158" s="1">
        <f t="shared" si="80"/>
        <v>0</v>
      </c>
      <c r="AC158" s="16">
        <f t="shared" si="82"/>
        <v>1104.0806451612902</v>
      </c>
      <c r="AD158" s="16">
        <f t="shared" si="76"/>
        <v>11388.790322580644</v>
      </c>
    </row>
    <row r="159" spans="1:30" x14ac:dyDescent="0.2">
      <c r="A159" s="10" t="s">
        <v>315</v>
      </c>
      <c r="B159" s="11">
        <f t="shared" si="81"/>
        <v>137</v>
      </c>
      <c r="C159" s="11" t="s">
        <v>1218</v>
      </c>
      <c r="D159" s="19" t="s">
        <v>51</v>
      </c>
      <c r="E159" s="19" t="s">
        <v>1162</v>
      </c>
      <c r="F159" s="22">
        <v>43013</v>
      </c>
      <c r="G159" s="11">
        <v>7</v>
      </c>
      <c r="H159" s="13">
        <f t="shared" si="68"/>
        <v>1129.0322580645161</v>
      </c>
      <c r="I159" s="13">
        <f t="shared" si="77"/>
        <v>0</v>
      </c>
      <c r="J159" s="13">
        <f t="shared" si="71"/>
        <v>56.451612903225808</v>
      </c>
      <c r="L159" s="13">
        <f t="shared" si="69"/>
        <v>180.64516129032256</v>
      </c>
      <c r="N159" s="13">
        <f t="shared" si="70"/>
        <v>1116.3870967741934</v>
      </c>
      <c r="O159" s="13">
        <v>0</v>
      </c>
      <c r="Q159" s="13">
        <f t="shared" si="78"/>
        <v>2482.5161290322576</v>
      </c>
      <c r="R159" s="12">
        <f t="shared" si="72"/>
        <v>135.48387096774192</v>
      </c>
      <c r="S159" s="12">
        <f t="shared" si="73"/>
        <v>44</v>
      </c>
      <c r="T159" s="21">
        <f t="shared" si="63"/>
        <v>0</v>
      </c>
      <c r="U159" s="13">
        <v>0</v>
      </c>
      <c r="V159" s="13">
        <f t="shared" si="67"/>
        <v>179.48387096774192</v>
      </c>
      <c r="W159" s="13">
        <f t="shared" si="74"/>
        <v>2303.0322580645156</v>
      </c>
      <c r="Y159" s="13">
        <f t="shared" si="79"/>
        <v>2303.0322580645156</v>
      </c>
      <c r="Z159" s="12">
        <f t="shared" si="54"/>
        <v>148.46774193548387</v>
      </c>
      <c r="AA159" s="12">
        <f t="shared" si="75"/>
        <v>118</v>
      </c>
      <c r="AB159" s="1">
        <f t="shared" si="80"/>
        <v>0</v>
      </c>
      <c r="AC159" s="16">
        <f t="shared" si="82"/>
        <v>266.4677419354839</v>
      </c>
      <c r="AD159" s="16">
        <f t="shared" si="76"/>
        <v>2748.9838709677415</v>
      </c>
    </row>
    <row r="160" spans="1:30" x14ac:dyDescent="0.2">
      <c r="A160" s="10" t="s">
        <v>315</v>
      </c>
      <c r="B160" s="11">
        <f t="shared" si="81"/>
        <v>138</v>
      </c>
      <c r="C160" s="11" t="s">
        <v>1219</v>
      </c>
      <c r="D160" s="19" t="s">
        <v>51</v>
      </c>
      <c r="E160" s="19" t="s">
        <v>658</v>
      </c>
      <c r="F160" s="22">
        <v>43014</v>
      </c>
      <c r="G160" s="11">
        <v>1</v>
      </c>
      <c r="H160" s="13">
        <f t="shared" si="68"/>
        <v>161.29032258064515</v>
      </c>
      <c r="I160" s="13">
        <f t="shared" si="77"/>
        <v>0</v>
      </c>
      <c r="J160" s="13">
        <f t="shared" si="71"/>
        <v>8.064516129032258</v>
      </c>
      <c r="L160" s="13">
        <f t="shared" si="69"/>
        <v>25.806451612903224</v>
      </c>
      <c r="N160" s="13">
        <f t="shared" si="70"/>
        <v>159.48387096774192</v>
      </c>
      <c r="O160" s="13">
        <v>0</v>
      </c>
      <c r="Q160" s="13">
        <f t="shared" si="78"/>
        <v>354.64516129032256</v>
      </c>
      <c r="R160" s="12">
        <f t="shared" si="72"/>
        <v>19.354838709677416</v>
      </c>
      <c r="S160" s="12">
        <f t="shared" si="73"/>
        <v>7</v>
      </c>
      <c r="T160" s="21">
        <f t="shared" si="63"/>
        <v>0</v>
      </c>
      <c r="U160" s="13">
        <v>0</v>
      </c>
      <c r="V160" s="13">
        <f t="shared" si="67"/>
        <v>26.354838709677416</v>
      </c>
      <c r="W160" s="13">
        <f t="shared" si="74"/>
        <v>328.29032258064512</v>
      </c>
      <c r="Y160" s="13">
        <f t="shared" si="79"/>
        <v>328.29032258064512</v>
      </c>
      <c r="Z160" s="12">
        <f t="shared" si="54"/>
        <v>21.20967741935484</v>
      </c>
      <c r="AA160" s="12">
        <f t="shared" si="75"/>
        <v>17</v>
      </c>
      <c r="AB160" s="1">
        <f t="shared" si="80"/>
        <v>0</v>
      </c>
      <c r="AC160" s="16">
        <f t="shared" si="82"/>
        <v>38.20967741935484</v>
      </c>
      <c r="AD160" s="16">
        <f t="shared" si="76"/>
        <v>392.85483870967738</v>
      </c>
    </row>
    <row r="161" spans="1:30" x14ac:dyDescent="0.2">
      <c r="A161" s="10" t="s">
        <v>315</v>
      </c>
      <c r="B161" s="11">
        <f t="shared" si="81"/>
        <v>139</v>
      </c>
      <c r="C161" s="11" t="s">
        <v>1220</v>
      </c>
      <c r="D161" s="19" t="s">
        <v>51</v>
      </c>
      <c r="E161" s="19" t="s">
        <v>658</v>
      </c>
      <c r="F161" s="22">
        <v>43014</v>
      </c>
      <c r="G161" s="11">
        <v>1</v>
      </c>
      <c r="H161" s="13">
        <f t="shared" si="68"/>
        <v>161.29032258064515</v>
      </c>
      <c r="I161" s="13">
        <f t="shared" si="77"/>
        <v>0</v>
      </c>
      <c r="J161" s="13">
        <f t="shared" si="71"/>
        <v>8.064516129032258</v>
      </c>
      <c r="L161" s="13">
        <f t="shared" si="69"/>
        <v>25.806451612903224</v>
      </c>
      <c r="N161" s="13">
        <f t="shared" si="70"/>
        <v>159.48387096774192</v>
      </c>
      <c r="O161" s="13">
        <v>0</v>
      </c>
      <c r="Q161" s="13">
        <f t="shared" si="78"/>
        <v>354.64516129032256</v>
      </c>
      <c r="R161" s="12">
        <f t="shared" si="72"/>
        <v>19.354838709677416</v>
      </c>
      <c r="S161" s="12">
        <f t="shared" si="73"/>
        <v>7</v>
      </c>
      <c r="T161" s="21">
        <f t="shared" si="63"/>
        <v>0</v>
      </c>
      <c r="U161" s="13">
        <v>0</v>
      </c>
      <c r="V161" s="13">
        <f t="shared" si="67"/>
        <v>26.354838709677416</v>
      </c>
      <c r="W161" s="13">
        <f t="shared" si="74"/>
        <v>328.29032258064512</v>
      </c>
      <c r="Y161" s="13">
        <f t="shared" si="79"/>
        <v>328.29032258064512</v>
      </c>
      <c r="Z161" s="12">
        <f t="shared" si="54"/>
        <v>21.20967741935484</v>
      </c>
      <c r="AA161" s="12">
        <f t="shared" si="75"/>
        <v>17</v>
      </c>
      <c r="AB161" s="1">
        <f t="shared" si="80"/>
        <v>0</v>
      </c>
      <c r="AC161" s="16">
        <f t="shared" si="82"/>
        <v>38.20967741935484</v>
      </c>
      <c r="AD161" s="16">
        <f t="shared" si="76"/>
        <v>392.85483870967738</v>
      </c>
    </row>
    <row r="162" spans="1:30" x14ac:dyDescent="0.2">
      <c r="A162" s="10" t="s">
        <v>315</v>
      </c>
      <c r="B162" s="11">
        <f t="shared" si="81"/>
        <v>140</v>
      </c>
      <c r="C162" s="11" t="s">
        <v>1221</v>
      </c>
      <c r="D162" s="19" t="s">
        <v>51</v>
      </c>
      <c r="E162" s="19" t="s">
        <v>658</v>
      </c>
      <c r="F162" s="22">
        <v>43014</v>
      </c>
      <c r="G162" s="11">
        <v>1</v>
      </c>
      <c r="H162" s="13">
        <f t="shared" si="68"/>
        <v>161.29032258064515</v>
      </c>
      <c r="I162" s="13">
        <f t="shared" si="77"/>
        <v>0</v>
      </c>
      <c r="J162" s="13">
        <f t="shared" si="71"/>
        <v>8.064516129032258</v>
      </c>
      <c r="L162" s="13">
        <f t="shared" si="69"/>
        <v>25.806451612903224</v>
      </c>
      <c r="N162" s="13">
        <f t="shared" si="70"/>
        <v>159.48387096774192</v>
      </c>
      <c r="O162" s="13">
        <v>0</v>
      </c>
      <c r="Q162" s="13">
        <f t="shared" si="78"/>
        <v>354.64516129032256</v>
      </c>
      <c r="R162" s="12">
        <f t="shared" si="72"/>
        <v>19.354838709677416</v>
      </c>
      <c r="S162" s="12">
        <f t="shared" si="73"/>
        <v>7</v>
      </c>
      <c r="T162" s="21">
        <f t="shared" si="63"/>
        <v>0</v>
      </c>
      <c r="U162" s="13">
        <v>0</v>
      </c>
      <c r="V162" s="13">
        <f t="shared" si="67"/>
        <v>26.354838709677416</v>
      </c>
      <c r="W162" s="13">
        <f t="shared" si="74"/>
        <v>328.29032258064512</v>
      </c>
      <c r="Y162" s="13">
        <f t="shared" si="79"/>
        <v>328.29032258064512</v>
      </c>
      <c r="Z162" s="12">
        <f t="shared" si="54"/>
        <v>21.20967741935484</v>
      </c>
      <c r="AA162" s="12">
        <f t="shared" si="75"/>
        <v>17</v>
      </c>
      <c r="AB162" s="1">
        <f t="shared" si="80"/>
        <v>0</v>
      </c>
      <c r="AC162" s="16">
        <f t="shared" si="82"/>
        <v>38.20967741935484</v>
      </c>
      <c r="AD162" s="16">
        <f t="shared" si="76"/>
        <v>392.85483870967738</v>
      </c>
    </row>
    <row r="163" spans="1:30" x14ac:dyDescent="0.2">
      <c r="A163" s="10" t="s">
        <v>315</v>
      </c>
      <c r="B163" s="11">
        <f t="shared" si="81"/>
        <v>141</v>
      </c>
      <c r="C163" s="11" t="s">
        <v>1222</v>
      </c>
      <c r="D163" s="19" t="s">
        <v>51</v>
      </c>
      <c r="E163" s="19" t="s">
        <v>658</v>
      </c>
      <c r="F163" s="22">
        <v>43014</v>
      </c>
      <c r="G163" s="11">
        <v>2</v>
      </c>
      <c r="H163" s="13">
        <f t="shared" si="68"/>
        <v>322.58064516129031</v>
      </c>
      <c r="I163" s="13">
        <f t="shared" si="77"/>
        <v>0</v>
      </c>
      <c r="J163" s="13">
        <f t="shared" si="71"/>
        <v>16.129032258064516</v>
      </c>
      <c r="L163" s="13">
        <f t="shared" si="69"/>
        <v>51.612903225806448</v>
      </c>
      <c r="N163" s="13">
        <f t="shared" si="70"/>
        <v>318.96774193548384</v>
      </c>
      <c r="O163" s="13">
        <v>0</v>
      </c>
      <c r="Q163" s="13">
        <f t="shared" si="78"/>
        <v>709.29032258064512</v>
      </c>
      <c r="R163" s="12">
        <f t="shared" si="72"/>
        <v>38.709677419354833</v>
      </c>
      <c r="S163" s="12">
        <f t="shared" si="73"/>
        <v>13</v>
      </c>
      <c r="T163" s="21">
        <f t="shared" ref="T163:T209" si="83">+IF(Q163&lt;2501,0,IF((Q163&gt;2501)*(Q163&lt;3500),0,IF((Q163&gt;3501)*(Q163&lt;7500),0,IF((Q163&gt;7501)*(Q163&lt;10000),175,200))))</f>
        <v>0</v>
      </c>
      <c r="U163" s="13">
        <v>0</v>
      </c>
      <c r="V163" s="13">
        <f t="shared" si="67"/>
        <v>51.709677419354833</v>
      </c>
      <c r="W163" s="13">
        <f t="shared" si="74"/>
        <v>657.58064516129025</v>
      </c>
      <c r="Y163" s="13">
        <f t="shared" si="79"/>
        <v>657.58064516129025</v>
      </c>
      <c r="Z163" s="12">
        <f t="shared" si="54"/>
        <v>42.41935483870968</v>
      </c>
      <c r="AA163" s="12">
        <f t="shared" si="75"/>
        <v>34</v>
      </c>
      <c r="AB163" s="1">
        <f t="shared" si="80"/>
        <v>0</v>
      </c>
      <c r="AC163" s="16">
        <f t="shared" si="82"/>
        <v>76.41935483870968</v>
      </c>
      <c r="AD163" s="16">
        <f t="shared" si="76"/>
        <v>785.70967741935476</v>
      </c>
    </row>
    <row r="164" spans="1:30" x14ac:dyDescent="0.2">
      <c r="A164" s="10" t="s">
        <v>315</v>
      </c>
      <c r="B164" s="11">
        <f t="shared" si="81"/>
        <v>142</v>
      </c>
      <c r="C164" s="11" t="s">
        <v>1223</v>
      </c>
      <c r="D164" s="19" t="s">
        <v>51</v>
      </c>
      <c r="E164" s="19" t="s">
        <v>658</v>
      </c>
      <c r="F164" s="22">
        <v>43014</v>
      </c>
      <c r="G164" s="11">
        <v>26</v>
      </c>
      <c r="H164" s="13">
        <f t="shared" si="68"/>
        <v>4193.5483870967737</v>
      </c>
      <c r="I164" s="13">
        <f t="shared" si="77"/>
        <v>0</v>
      </c>
      <c r="J164" s="13">
        <f t="shared" si="71"/>
        <v>209.67741935483869</v>
      </c>
      <c r="L164" s="13">
        <f t="shared" si="69"/>
        <v>670.96774193548379</v>
      </c>
      <c r="N164" s="13">
        <f t="shared" si="70"/>
        <v>4146.5806451612898</v>
      </c>
      <c r="O164" s="13">
        <v>0</v>
      </c>
      <c r="Q164" s="13">
        <f t="shared" si="78"/>
        <v>9220.7741935483864</v>
      </c>
      <c r="R164" s="12">
        <f t="shared" si="72"/>
        <v>503.22580645161281</v>
      </c>
      <c r="S164" s="12">
        <f t="shared" si="73"/>
        <v>162</v>
      </c>
      <c r="T164" s="21">
        <f t="shared" si="83"/>
        <v>175</v>
      </c>
      <c r="U164" s="13">
        <v>0</v>
      </c>
      <c r="V164" s="13">
        <f t="shared" si="67"/>
        <v>840.22580645161281</v>
      </c>
      <c r="W164" s="13">
        <f t="shared" si="74"/>
        <v>8380.5483870967728</v>
      </c>
      <c r="X164" s="13">
        <v>400</v>
      </c>
      <c r="Y164" s="13">
        <f t="shared" si="79"/>
        <v>7980.5483870967728</v>
      </c>
      <c r="Z164" s="12">
        <f t="shared" si="54"/>
        <v>551.45161290322574</v>
      </c>
      <c r="AA164" s="12">
        <f t="shared" si="75"/>
        <v>438</v>
      </c>
      <c r="AB164" s="1">
        <f t="shared" si="80"/>
        <v>0</v>
      </c>
      <c r="AC164" s="16">
        <f t="shared" si="82"/>
        <v>989.45161290322574</v>
      </c>
      <c r="AD164" s="16">
        <f t="shared" si="76"/>
        <v>10210.225806451612</v>
      </c>
    </row>
    <row r="165" spans="1:30" x14ac:dyDescent="0.2">
      <c r="A165" s="10" t="s">
        <v>315</v>
      </c>
      <c r="B165" s="11">
        <f t="shared" si="81"/>
        <v>143</v>
      </c>
      <c r="C165" s="11" t="s">
        <v>1224</v>
      </c>
      <c r="D165" s="19" t="s">
        <v>51</v>
      </c>
      <c r="E165" s="19" t="s">
        <v>658</v>
      </c>
      <c r="F165" s="22">
        <v>43014</v>
      </c>
      <c r="G165" s="11">
        <v>21</v>
      </c>
      <c r="H165" s="13">
        <f t="shared" si="68"/>
        <v>3387.0967741935483</v>
      </c>
      <c r="I165" s="13">
        <f t="shared" si="77"/>
        <v>0</v>
      </c>
      <c r="J165" s="13">
        <f t="shared" si="71"/>
        <v>169.35483870967744</v>
      </c>
      <c r="L165" s="13">
        <f t="shared" si="69"/>
        <v>541.93548387096769</v>
      </c>
      <c r="N165" s="13">
        <f t="shared" si="70"/>
        <v>3349.1612903225805</v>
      </c>
      <c r="O165" s="13">
        <v>0</v>
      </c>
      <c r="Q165" s="13">
        <f t="shared" si="78"/>
        <v>7447.5483870967737</v>
      </c>
      <c r="R165" s="12">
        <f t="shared" si="72"/>
        <v>406.45161290322579</v>
      </c>
      <c r="S165" s="12">
        <f t="shared" si="73"/>
        <v>131</v>
      </c>
      <c r="T165" s="21">
        <f t="shared" si="83"/>
        <v>0</v>
      </c>
      <c r="U165" s="13">
        <v>0</v>
      </c>
      <c r="V165" s="13">
        <f t="shared" si="67"/>
        <v>537.45161290322585</v>
      </c>
      <c r="W165" s="13">
        <f t="shared" si="74"/>
        <v>6910.0967741935474</v>
      </c>
      <c r="X165" s="13">
        <v>400</v>
      </c>
      <c r="Y165" s="13">
        <f t="shared" si="79"/>
        <v>6510.0967741935474</v>
      </c>
      <c r="Z165" s="12">
        <f t="shared" si="54"/>
        <v>445.40322580645164</v>
      </c>
      <c r="AA165" s="12">
        <f t="shared" si="75"/>
        <v>354</v>
      </c>
      <c r="AB165" s="1">
        <f t="shared" si="80"/>
        <v>0</v>
      </c>
      <c r="AC165" s="16">
        <f t="shared" si="82"/>
        <v>799.4032258064517</v>
      </c>
      <c r="AD165" s="16">
        <f t="shared" si="76"/>
        <v>8246.9516129032254</v>
      </c>
    </row>
    <row r="166" spans="1:30" x14ac:dyDescent="0.2">
      <c r="A166" s="10" t="s">
        <v>315</v>
      </c>
      <c r="B166" s="11">
        <f t="shared" si="81"/>
        <v>144</v>
      </c>
      <c r="C166" s="11" t="s">
        <v>1225</v>
      </c>
      <c r="D166" s="19" t="s">
        <v>51</v>
      </c>
      <c r="E166" s="19" t="s">
        <v>658</v>
      </c>
      <c r="F166" s="22">
        <v>43014</v>
      </c>
      <c r="G166" s="11">
        <v>1</v>
      </c>
      <c r="H166" s="13">
        <f t="shared" si="68"/>
        <v>161.29032258064515</v>
      </c>
      <c r="I166" s="13">
        <f t="shared" si="77"/>
        <v>0</v>
      </c>
      <c r="J166" s="13">
        <f t="shared" si="71"/>
        <v>8.064516129032258</v>
      </c>
      <c r="L166" s="13">
        <f t="shared" si="69"/>
        <v>25.806451612903224</v>
      </c>
      <c r="N166" s="13">
        <f t="shared" si="70"/>
        <v>159.48387096774192</v>
      </c>
      <c r="O166" s="13">
        <v>0</v>
      </c>
      <c r="Q166" s="13">
        <f t="shared" si="78"/>
        <v>354.64516129032256</v>
      </c>
      <c r="R166" s="12">
        <f t="shared" si="72"/>
        <v>19.354838709677416</v>
      </c>
      <c r="S166" s="12">
        <f t="shared" si="73"/>
        <v>7</v>
      </c>
      <c r="T166" s="21">
        <f t="shared" si="83"/>
        <v>0</v>
      </c>
      <c r="U166" s="13">
        <v>0</v>
      </c>
      <c r="V166" s="13">
        <f t="shared" si="67"/>
        <v>26.354838709677416</v>
      </c>
      <c r="W166" s="13">
        <f t="shared" si="74"/>
        <v>328.29032258064512</v>
      </c>
      <c r="Y166" s="13">
        <f t="shared" si="79"/>
        <v>328.29032258064512</v>
      </c>
      <c r="Z166" s="12">
        <f t="shared" si="54"/>
        <v>21.20967741935484</v>
      </c>
      <c r="AA166" s="12">
        <f t="shared" si="75"/>
        <v>17</v>
      </c>
      <c r="AB166" s="1">
        <f t="shared" si="80"/>
        <v>0</v>
      </c>
      <c r="AC166" s="16">
        <f t="shared" si="82"/>
        <v>38.20967741935484</v>
      </c>
      <c r="AD166" s="16">
        <f t="shared" si="76"/>
        <v>392.85483870967738</v>
      </c>
    </row>
    <row r="167" spans="1:30" x14ac:dyDescent="0.2">
      <c r="A167" s="10" t="s">
        <v>315</v>
      </c>
      <c r="B167" s="11">
        <f t="shared" si="81"/>
        <v>145</v>
      </c>
      <c r="C167" s="11" t="s">
        <v>1226</v>
      </c>
      <c r="D167" s="19" t="s">
        <v>51</v>
      </c>
      <c r="E167" s="19" t="s">
        <v>658</v>
      </c>
      <c r="F167" s="22">
        <v>43015</v>
      </c>
      <c r="G167" s="11">
        <v>10</v>
      </c>
      <c r="H167" s="13">
        <f t="shared" si="68"/>
        <v>1612.9032258064515</v>
      </c>
      <c r="I167" s="13">
        <f t="shared" si="77"/>
        <v>0</v>
      </c>
      <c r="J167" s="13">
        <f t="shared" si="71"/>
        <v>80.645161290322577</v>
      </c>
      <c r="L167" s="13">
        <f t="shared" si="69"/>
        <v>258.06451612903226</v>
      </c>
      <c r="N167" s="13">
        <f t="shared" si="70"/>
        <v>1594.8387096774193</v>
      </c>
      <c r="O167" s="13">
        <v>0</v>
      </c>
      <c r="Q167" s="13">
        <f t="shared" si="78"/>
        <v>3546.4516129032254</v>
      </c>
      <c r="R167" s="12">
        <f t="shared" si="72"/>
        <v>193.54838709677418</v>
      </c>
      <c r="S167" s="12">
        <f t="shared" si="73"/>
        <v>63</v>
      </c>
      <c r="T167" s="21">
        <f t="shared" si="83"/>
        <v>0</v>
      </c>
      <c r="U167" s="13">
        <v>0</v>
      </c>
      <c r="V167" s="13">
        <f t="shared" si="67"/>
        <v>256.54838709677415</v>
      </c>
      <c r="W167" s="13">
        <f t="shared" si="74"/>
        <v>3289.9032258064512</v>
      </c>
      <c r="Y167" s="13">
        <f t="shared" si="79"/>
        <v>3289.9032258064512</v>
      </c>
      <c r="Z167" s="12">
        <f t="shared" si="54"/>
        <v>212.09677419354838</v>
      </c>
      <c r="AA167" s="12">
        <f t="shared" si="75"/>
        <v>169</v>
      </c>
      <c r="AB167" s="1">
        <f t="shared" si="80"/>
        <v>0</v>
      </c>
      <c r="AC167" s="16">
        <f t="shared" si="82"/>
        <v>381.09677419354841</v>
      </c>
      <c r="AD167" s="16">
        <f t="shared" si="76"/>
        <v>3927.5483870967737</v>
      </c>
    </row>
    <row r="168" spans="1:30" x14ac:dyDescent="0.2">
      <c r="A168" s="10" t="s">
        <v>315</v>
      </c>
      <c r="B168" s="11">
        <f t="shared" si="81"/>
        <v>146</v>
      </c>
      <c r="C168" s="11" t="s">
        <v>1227</v>
      </c>
      <c r="D168" s="19" t="s">
        <v>51</v>
      </c>
      <c r="E168" s="19" t="s">
        <v>658</v>
      </c>
      <c r="F168" s="22">
        <v>43015</v>
      </c>
      <c r="G168" s="11">
        <v>28</v>
      </c>
      <c r="H168" s="13">
        <f t="shared" si="68"/>
        <v>4516.1290322580644</v>
      </c>
      <c r="I168" s="13">
        <f t="shared" si="77"/>
        <v>0</v>
      </c>
      <c r="J168" s="13">
        <f t="shared" si="71"/>
        <v>225.80645161290323</v>
      </c>
      <c r="L168" s="13">
        <f t="shared" si="69"/>
        <v>722.58064516129025</v>
      </c>
      <c r="N168" s="13">
        <f t="shared" si="70"/>
        <v>4465.5483870967737</v>
      </c>
      <c r="O168" s="13">
        <v>0</v>
      </c>
      <c r="Q168" s="13">
        <f t="shared" si="78"/>
        <v>9930.0645161290304</v>
      </c>
      <c r="R168" s="12">
        <f t="shared" si="72"/>
        <v>541.93548387096769</v>
      </c>
      <c r="S168" s="12">
        <f t="shared" si="73"/>
        <v>174</v>
      </c>
      <c r="T168" s="21">
        <f t="shared" si="83"/>
        <v>175</v>
      </c>
      <c r="U168" s="13">
        <v>0</v>
      </c>
      <c r="V168" s="13">
        <f t="shared" si="67"/>
        <v>890.93548387096769</v>
      </c>
      <c r="W168" s="13">
        <f t="shared" si="74"/>
        <v>9039.1290322580626</v>
      </c>
      <c r="Y168" s="13">
        <f t="shared" si="79"/>
        <v>9039.1290322580626</v>
      </c>
      <c r="Z168" s="12">
        <f t="shared" si="54"/>
        <v>593.87096774193549</v>
      </c>
      <c r="AA168" s="12">
        <f t="shared" si="75"/>
        <v>472</v>
      </c>
      <c r="AB168" s="1">
        <f t="shared" si="80"/>
        <v>0</v>
      </c>
      <c r="AC168" s="16">
        <f t="shared" si="82"/>
        <v>1065.8709677419356</v>
      </c>
      <c r="AD168" s="16">
        <f t="shared" si="76"/>
        <v>10995.935483870966</v>
      </c>
    </row>
    <row r="169" spans="1:30" x14ac:dyDescent="0.2">
      <c r="A169" s="10" t="s">
        <v>315</v>
      </c>
      <c r="B169" s="11">
        <f t="shared" si="81"/>
        <v>147</v>
      </c>
      <c r="C169" s="11" t="s">
        <v>1228</v>
      </c>
      <c r="D169" s="19" t="s">
        <v>51</v>
      </c>
      <c r="E169" s="19" t="s">
        <v>658</v>
      </c>
      <c r="F169" s="22">
        <v>43015</v>
      </c>
      <c r="G169" s="11">
        <v>1</v>
      </c>
      <c r="H169" s="13">
        <f t="shared" si="68"/>
        <v>161.29032258064515</v>
      </c>
      <c r="I169" s="13">
        <f t="shared" si="77"/>
        <v>0</v>
      </c>
      <c r="J169" s="13">
        <f t="shared" si="71"/>
        <v>8.064516129032258</v>
      </c>
      <c r="L169" s="13">
        <f t="shared" si="69"/>
        <v>25.806451612903224</v>
      </c>
      <c r="N169" s="13">
        <f t="shared" si="70"/>
        <v>159.48387096774192</v>
      </c>
      <c r="O169" s="13">
        <v>0</v>
      </c>
      <c r="Q169" s="13">
        <f t="shared" si="78"/>
        <v>354.64516129032256</v>
      </c>
      <c r="R169" s="12">
        <f t="shared" si="72"/>
        <v>19.354838709677416</v>
      </c>
      <c r="S169" s="12">
        <f t="shared" si="73"/>
        <v>7</v>
      </c>
      <c r="T169" s="21">
        <f t="shared" si="83"/>
        <v>0</v>
      </c>
      <c r="U169" s="13">
        <v>0</v>
      </c>
      <c r="V169" s="13">
        <f t="shared" si="67"/>
        <v>26.354838709677416</v>
      </c>
      <c r="W169" s="13">
        <f t="shared" si="74"/>
        <v>328.29032258064512</v>
      </c>
      <c r="Y169" s="13">
        <f t="shared" si="79"/>
        <v>328.29032258064512</v>
      </c>
      <c r="Z169" s="12">
        <f t="shared" si="54"/>
        <v>21.20967741935484</v>
      </c>
      <c r="AA169" s="12">
        <f t="shared" si="75"/>
        <v>17</v>
      </c>
      <c r="AB169" s="1">
        <f t="shared" si="80"/>
        <v>0</v>
      </c>
      <c r="AC169" s="16">
        <f t="shared" si="82"/>
        <v>38.20967741935484</v>
      </c>
      <c r="AD169" s="16">
        <f t="shared" si="76"/>
        <v>392.85483870967738</v>
      </c>
    </row>
    <row r="170" spans="1:30" x14ac:dyDescent="0.2">
      <c r="A170" s="10" t="s">
        <v>315</v>
      </c>
      <c r="B170" s="11">
        <f t="shared" si="81"/>
        <v>148</v>
      </c>
      <c r="C170" s="11" t="s">
        <v>1229</v>
      </c>
      <c r="D170" s="19" t="s">
        <v>51</v>
      </c>
      <c r="E170" s="19" t="s">
        <v>658</v>
      </c>
      <c r="F170" s="22">
        <v>43016</v>
      </c>
      <c r="G170" s="11">
        <v>1</v>
      </c>
      <c r="H170" s="13">
        <f t="shared" si="68"/>
        <v>161.29032258064515</v>
      </c>
      <c r="I170" s="13">
        <f t="shared" si="77"/>
        <v>0</v>
      </c>
      <c r="J170" s="13">
        <f t="shared" si="71"/>
        <v>8.064516129032258</v>
      </c>
      <c r="L170" s="13">
        <f t="shared" si="69"/>
        <v>25.806451612903224</v>
      </c>
      <c r="N170" s="13">
        <f t="shared" si="70"/>
        <v>159.48387096774192</v>
      </c>
      <c r="O170" s="13">
        <v>0</v>
      </c>
      <c r="Q170" s="13">
        <f t="shared" si="78"/>
        <v>354.64516129032256</v>
      </c>
      <c r="R170" s="12">
        <f t="shared" si="72"/>
        <v>19.354838709677416</v>
      </c>
      <c r="S170" s="12">
        <f t="shared" si="73"/>
        <v>7</v>
      </c>
      <c r="T170" s="21">
        <f t="shared" si="83"/>
        <v>0</v>
      </c>
      <c r="U170" s="13">
        <v>0</v>
      </c>
      <c r="V170" s="13">
        <f t="shared" si="67"/>
        <v>26.354838709677416</v>
      </c>
      <c r="W170" s="13">
        <f t="shared" si="74"/>
        <v>328.29032258064512</v>
      </c>
      <c r="Y170" s="13">
        <f t="shared" si="79"/>
        <v>328.29032258064512</v>
      </c>
      <c r="Z170" s="12">
        <f t="shared" si="54"/>
        <v>21.20967741935484</v>
      </c>
      <c r="AA170" s="12">
        <f t="shared" si="75"/>
        <v>17</v>
      </c>
      <c r="AB170" s="1">
        <f t="shared" si="80"/>
        <v>0</v>
      </c>
      <c r="AC170" s="16">
        <f t="shared" si="82"/>
        <v>38.20967741935484</v>
      </c>
      <c r="AD170" s="16">
        <f t="shared" si="76"/>
        <v>392.85483870967738</v>
      </c>
    </row>
    <row r="171" spans="1:30" x14ac:dyDescent="0.2">
      <c r="A171" s="10" t="s">
        <v>315</v>
      </c>
      <c r="B171" s="11">
        <f t="shared" si="81"/>
        <v>149</v>
      </c>
      <c r="C171" s="11" t="s">
        <v>1230</v>
      </c>
      <c r="D171" s="19" t="s">
        <v>51</v>
      </c>
      <c r="E171" s="19" t="s">
        <v>658</v>
      </c>
      <c r="F171" s="22">
        <v>43016</v>
      </c>
      <c r="G171" s="11">
        <v>1</v>
      </c>
      <c r="H171" s="13">
        <f t="shared" si="68"/>
        <v>161.29032258064515</v>
      </c>
      <c r="I171" s="13">
        <f t="shared" si="77"/>
        <v>0</v>
      </c>
      <c r="J171" s="13">
        <f t="shared" si="71"/>
        <v>8.064516129032258</v>
      </c>
      <c r="L171" s="13">
        <f t="shared" si="69"/>
        <v>25.806451612903224</v>
      </c>
      <c r="N171" s="13">
        <f t="shared" si="70"/>
        <v>159.48387096774192</v>
      </c>
      <c r="O171" s="13">
        <v>0</v>
      </c>
      <c r="Q171" s="13">
        <f t="shared" si="78"/>
        <v>354.64516129032256</v>
      </c>
      <c r="R171" s="12">
        <f t="shared" si="72"/>
        <v>19.354838709677416</v>
      </c>
      <c r="S171" s="12">
        <f t="shared" si="73"/>
        <v>7</v>
      </c>
      <c r="T171" s="21">
        <f t="shared" si="83"/>
        <v>0</v>
      </c>
      <c r="U171" s="13">
        <v>0</v>
      </c>
      <c r="V171" s="13">
        <f t="shared" si="67"/>
        <v>26.354838709677416</v>
      </c>
      <c r="W171" s="13">
        <f t="shared" si="74"/>
        <v>328.29032258064512</v>
      </c>
      <c r="Y171" s="13">
        <f t="shared" si="79"/>
        <v>328.29032258064512</v>
      </c>
      <c r="Z171" s="12">
        <f t="shared" si="54"/>
        <v>21.20967741935484</v>
      </c>
      <c r="AA171" s="12">
        <f t="shared" si="75"/>
        <v>17</v>
      </c>
      <c r="AB171" s="1">
        <f t="shared" si="80"/>
        <v>0</v>
      </c>
      <c r="AC171" s="16">
        <f t="shared" si="82"/>
        <v>38.20967741935484</v>
      </c>
      <c r="AD171" s="16">
        <f t="shared" si="76"/>
        <v>392.85483870967738</v>
      </c>
    </row>
    <row r="172" spans="1:30" x14ac:dyDescent="0.2">
      <c r="A172" s="10" t="s">
        <v>315</v>
      </c>
      <c r="B172" s="11">
        <f t="shared" si="81"/>
        <v>150</v>
      </c>
      <c r="C172" s="11" t="s">
        <v>1231</v>
      </c>
      <c r="D172" s="19" t="s">
        <v>51</v>
      </c>
      <c r="E172" s="19" t="s">
        <v>658</v>
      </c>
      <c r="F172" s="22">
        <v>43016</v>
      </c>
      <c r="G172" s="11">
        <v>26</v>
      </c>
      <c r="H172" s="13">
        <f t="shared" si="68"/>
        <v>4193.5483870967737</v>
      </c>
      <c r="I172" s="13">
        <f t="shared" si="77"/>
        <v>0</v>
      </c>
      <c r="J172" s="13">
        <f t="shared" si="71"/>
        <v>209.67741935483869</v>
      </c>
      <c r="L172" s="13">
        <f t="shared" si="69"/>
        <v>670.96774193548379</v>
      </c>
      <c r="N172" s="13">
        <f t="shared" si="70"/>
        <v>4146.5806451612898</v>
      </c>
      <c r="O172" s="13">
        <v>0</v>
      </c>
      <c r="Q172" s="13">
        <f t="shared" si="78"/>
        <v>9220.7741935483864</v>
      </c>
      <c r="R172" s="12">
        <f t="shared" si="72"/>
        <v>503.22580645161281</v>
      </c>
      <c r="S172" s="12">
        <f t="shared" si="73"/>
        <v>162</v>
      </c>
      <c r="T172" s="21">
        <f t="shared" si="83"/>
        <v>175</v>
      </c>
      <c r="U172" s="13">
        <v>0</v>
      </c>
      <c r="V172" s="13">
        <f t="shared" si="67"/>
        <v>840.22580645161281</v>
      </c>
      <c r="W172" s="13">
        <f t="shared" si="74"/>
        <v>8380.5483870967728</v>
      </c>
      <c r="Y172" s="13">
        <f t="shared" si="79"/>
        <v>8380.5483870967728</v>
      </c>
      <c r="Z172" s="12">
        <f t="shared" si="54"/>
        <v>551.45161290322574</v>
      </c>
      <c r="AA172" s="12">
        <f t="shared" si="75"/>
        <v>438</v>
      </c>
      <c r="AB172" s="1">
        <f t="shared" si="80"/>
        <v>0</v>
      </c>
      <c r="AC172" s="16">
        <f t="shared" si="82"/>
        <v>989.45161290322574</v>
      </c>
      <c r="AD172" s="16">
        <f t="shared" si="76"/>
        <v>10210.225806451612</v>
      </c>
    </row>
    <row r="173" spans="1:30" x14ac:dyDescent="0.2">
      <c r="A173" s="10" t="s">
        <v>315</v>
      </c>
      <c r="B173" s="11">
        <f t="shared" si="81"/>
        <v>151</v>
      </c>
      <c r="C173" s="11" t="s">
        <v>1232</v>
      </c>
      <c r="D173" s="19" t="s">
        <v>51</v>
      </c>
      <c r="E173" s="19" t="s">
        <v>658</v>
      </c>
      <c r="F173" s="22">
        <v>43016</v>
      </c>
      <c r="G173" s="11">
        <v>24</v>
      </c>
      <c r="H173" s="13">
        <f t="shared" si="68"/>
        <v>3870.9677419354839</v>
      </c>
      <c r="I173" s="13">
        <f t="shared" si="77"/>
        <v>0</v>
      </c>
      <c r="J173" s="13">
        <f t="shared" si="71"/>
        <v>193.54838709677421</v>
      </c>
      <c r="L173" s="13">
        <f t="shared" si="69"/>
        <v>619.35483870967732</v>
      </c>
      <c r="N173" s="13">
        <f t="shared" si="70"/>
        <v>3827.6129032258059</v>
      </c>
      <c r="O173" s="13">
        <v>0</v>
      </c>
      <c r="Q173" s="13">
        <f t="shared" si="78"/>
        <v>8511.4838709677424</v>
      </c>
      <c r="R173" s="12">
        <f t="shared" si="72"/>
        <v>464.51612903225805</v>
      </c>
      <c r="S173" s="12">
        <f t="shared" si="73"/>
        <v>149</v>
      </c>
      <c r="T173" s="21">
        <f t="shared" si="83"/>
        <v>175</v>
      </c>
      <c r="U173" s="13">
        <v>0</v>
      </c>
      <c r="V173" s="13">
        <f t="shared" si="67"/>
        <v>788.51612903225805</v>
      </c>
      <c r="W173" s="13">
        <f t="shared" si="74"/>
        <v>7722.9677419354848</v>
      </c>
      <c r="Y173" s="13">
        <f t="shared" si="79"/>
        <v>7722.9677419354848</v>
      </c>
      <c r="Z173" s="12">
        <f t="shared" si="54"/>
        <v>509.03225806451616</v>
      </c>
      <c r="AA173" s="12">
        <f t="shared" si="75"/>
        <v>405</v>
      </c>
      <c r="AB173" s="1">
        <f t="shared" si="80"/>
        <v>0</v>
      </c>
      <c r="AC173" s="16">
        <f t="shared" si="82"/>
        <v>914.0322580645161</v>
      </c>
      <c r="AD173" s="16">
        <f t="shared" si="76"/>
        <v>9425.5161290322576</v>
      </c>
    </row>
    <row r="174" spans="1:30" x14ac:dyDescent="0.2">
      <c r="A174" s="10" t="s">
        <v>315</v>
      </c>
      <c r="B174" s="11">
        <f t="shared" si="81"/>
        <v>152</v>
      </c>
      <c r="C174" s="11" t="s">
        <v>1233</v>
      </c>
      <c r="D174" s="19" t="s">
        <v>51</v>
      </c>
      <c r="E174" s="19" t="s">
        <v>1375</v>
      </c>
      <c r="F174" s="22">
        <v>43016</v>
      </c>
      <c r="G174" s="11">
        <v>1</v>
      </c>
      <c r="H174" s="13">
        <f t="shared" si="68"/>
        <v>161.29032258064515</v>
      </c>
      <c r="I174" s="13">
        <f t="shared" si="77"/>
        <v>0</v>
      </c>
      <c r="J174" s="13">
        <f t="shared" si="71"/>
        <v>8.064516129032258</v>
      </c>
      <c r="L174" s="13">
        <f t="shared" si="69"/>
        <v>25.806451612903224</v>
      </c>
      <c r="N174" s="13">
        <f t="shared" si="70"/>
        <v>159.48387096774192</v>
      </c>
      <c r="O174" s="13">
        <v>0</v>
      </c>
      <c r="Q174" s="13">
        <f t="shared" si="78"/>
        <v>354.64516129032256</v>
      </c>
      <c r="R174" s="12">
        <f t="shared" si="72"/>
        <v>19.354838709677416</v>
      </c>
      <c r="S174" s="12">
        <f t="shared" si="73"/>
        <v>7</v>
      </c>
      <c r="T174" s="21">
        <f t="shared" si="83"/>
        <v>0</v>
      </c>
      <c r="U174" s="13">
        <v>0</v>
      </c>
      <c r="V174" s="13">
        <f t="shared" si="67"/>
        <v>26.354838709677416</v>
      </c>
      <c r="W174" s="13">
        <f t="shared" si="74"/>
        <v>328.29032258064512</v>
      </c>
      <c r="Y174" s="13">
        <f t="shared" si="79"/>
        <v>328.29032258064512</v>
      </c>
      <c r="Z174" s="12">
        <f t="shared" si="54"/>
        <v>21.20967741935484</v>
      </c>
      <c r="AA174" s="12">
        <f t="shared" si="75"/>
        <v>17</v>
      </c>
      <c r="AB174" s="1">
        <f t="shared" si="80"/>
        <v>0</v>
      </c>
      <c r="AC174" s="16">
        <f t="shared" si="82"/>
        <v>38.20967741935484</v>
      </c>
      <c r="AD174" s="16">
        <f t="shared" si="76"/>
        <v>392.85483870967738</v>
      </c>
    </row>
    <row r="175" spans="1:30" x14ac:dyDescent="0.2">
      <c r="A175" s="10" t="s">
        <v>315</v>
      </c>
      <c r="B175" s="11">
        <f t="shared" si="81"/>
        <v>153</v>
      </c>
      <c r="C175" s="11" t="s">
        <v>251</v>
      </c>
      <c r="D175" s="19" t="s">
        <v>51</v>
      </c>
      <c r="E175" s="19" t="s">
        <v>658</v>
      </c>
      <c r="F175" s="22"/>
      <c r="G175" s="11">
        <v>6</v>
      </c>
      <c r="H175" s="13">
        <f t="shared" si="68"/>
        <v>967.74193548387098</v>
      </c>
      <c r="I175" s="13">
        <f t="shared" si="77"/>
        <v>0</v>
      </c>
      <c r="J175" s="13">
        <f t="shared" si="71"/>
        <v>48.387096774193552</v>
      </c>
      <c r="L175" s="13">
        <f t="shared" si="69"/>
        <v>154.83870967741933</v>
      </c>
      <c r="N175" s="13">
        <f t="shared" si="70"/>
        <v>956.90322580645147</v>
      </c>
      <c r="O175" s="13">
        <v>0</v>
      </c>
      <c r="Q175" s="13">
        <f t="shared" si="78"/>
        <v>2127.8709677419356</v>
      </c>
      <c r="R175" s="12">
        <f t="shared" si="72"/>
        <v>116.12903225806451</v>
      </c>
      <c r="S175" s="12">
        <f t="shared" si="73"/>
        <v>38</v>
      </c>
      <c r="T175" s="21">
        <f t="shared" si="83"/>
        <v>0</v>
      </c>
      <c r="U175" s="13">
        <v>0</v>
      </c>
      <c r="V175" s="13">
        <f t="shared" si="67"/>
        <v>154.12903225806451</v>
      </c>
      <c r="W175" s="13">
        <f t="shared" si="74"/>
        <v>1973.7419354838712</v>
      </c>
      <c r="Y175" s="13">
        <f t="shared" si="79"/>
        <v>1973.7419354838712</v>
      </c>
      <c r="Z175" s="12">
        <f t="shared" si="54"/>
        <v>127.25806451612904</v>
      </c>
      <c r="AA175" s="12">
        <f t="shared" si="75"/>
        <v>102</v>
      </c>
      <c r="AB175" s="1">
        <f t="shared" si="80"/>
        <v>0</v>
      </c>
      <c r="AC175" s="16">
        <f t="shared" si="82"/>
        <v>229.25806451612902</v>
      </c>
      <c r="AD175" s="16">
        <f t="shared" si="76"/>
        <v>2357.1290322580644</v>
      </c>
    </row>
    <row r="176" spans="1:30" x14ac:dyDescent="0.2">
      <c r="A176" s="10" t="s">
        <v>315</v>
      </c>
      <c r="B176" s="11">
        <f t="shared" si="81"/>
        <v>154</v>
      </c>
      <c r="C176" s="11" t="s">
        <v>1234</v>
      </c>
      <c r="D176" s="19" t="s">
        <v>51</v>
      </c>
      <c r="E176" s="19" t="s">
        <v>658</v>
      </c>
      <c r="F176" s="22">
        <v>43017</v>
      </c>
      <c r="G176" s="11">
        <v>24</v>
      </c>
      <c r="H176" s="13">
        <f t="shared" si="68"/>
        <v>3870.9677419354839</v>
      </c>
      <c r="I176" s="13">
        <f t="shared" si="77"/>
        <v>0</v>
      </c>
      <c r="J176" s="13">
        <f t="shared" si="71"/>
        <v>193.54838709677421</v>
      </c>
      <c r="L176" s="13">
        <f t="shared" si="69"/>
        <v>619.35483870967732</v>
      </c>
      <c r="N176" s="13">
        <f>((1950+1000+0)/G$3)*G176</f>
        <v>2283.8709677419356</v>
      </c>
      <c r="O176" s="13">
        <v>0</v>
      </c>
      <c r="Q176" s="13">
        <f t="shared" si="78"/>
        <v>6967.7419354838712</v>
      </c>
      <c r="R176" s="12">
        <f t="shared" si="72"/>
        <v>464.51612903225805</v>
      </c>
      <c r="S176" s="12">
        <f t="shared" si="73"/>
        <v>122</v>
      </c>
      <c r="T176" s="21">
        <f t="shared" si="83"/>
        <v>0</v>
      </c>
      <c r="U176" s="13">
        <v>0</v>
      </c>
      <c r="V176" s="13">
        <f t="shared" si="67"/>
        <v>586.51612903225805</v>
      </c>
      <c r="W176" s="13">
        <f t="shared" si="74"/>
        <v>6381.2258064516136</v>
      </c>
      <c r="Y176" s="13">
        <f t="shared" si="79"/>
        <v>6381.2258064516136</v>
      </c>
      <c r="Z176" s="12">
        <f t="shared" si="54"/>
        <v>509.03225806451616</v>
      </c>
      <c r="AA176" s="12">
        <f t="shared" si="75"/>
        <v>331</v>
      </c>
      <c r="AB176" s="1">
        <f t="shared" si="80"/>
        <v>0</v>
      </c>
      <c r="AC176" s="16">
        <f t="shared" si="82"/>
        <v>840.0322580645161</v>
      </c>
      <c r="AD176" s="16">
        <f t="shared" si="76"/>
        <v>7807.7741935483873</v>
      </c>
    </row>
    <row r="177" spans="1:30" x14ac:dyDescent="0.2">
      <c r="A177" s="10" t="s">
        <v>315</v>
      </c>
      <c r="B177" s="11">
        <f t="shared" si="81"/>
        <v>155</v>
      </c>
      <c r="C177" s="11" t="s">
        <v>1235</v>
      </c>
      <c r="D177" s="19" t="s">
        <v>51</v>
      </c>
      <c r="E177" s="19" t="s">
        <v>658</v>
      </c>
      <c r="F177" s="22">
        <v>43017</v>
      </c>
      <c r="G177" s="11">
        <v>1</v>
      </c>
      <c r="H177" s="13">
        <f t="shared" si="68"/>
        <v>161.29032258064515</v>
      </c>
      <c r="I177" s="13">
        <f t="shared" si="77"/>
        <v>0</v>
      </c>
      <c r="J177" s="13">
        <f t="shared" si="71"/>
        <v>8.064516129032258</v>
      </c>
      <c r="L177" s="13">
        <f t="shared" si="69"/>
        <v>25.806451612903224</v>
      </c>
      <c r="N177" s="13">
        <f t="shared" si="70"/>
        <v>159.48387096774192</v>
      </c>
      <c r="O177" s="13">
        <v>0</v>
      </c>
      <c r="Q177" s="13">
        <f t="shared" si="78"/>
        <v>354.64516129032256</v>
      </c>
      <c r="R177" s="12">
        <f t="shared" si="72"/>
        <v>19.354838709677416</v>
      </c>
      <c r="S177" s="12">
        <f t="shared" si="73"/>
        <v>7</v>
      </c>
      <c r="T177" s="21">
        <f t="shared" si="83"/>
        <v>0</v>
      </c>
      <c r="U177" s="13">
        <v>0</v>
      </c>
      <c r="V177" s="13">
        <f t="shared" si="67"/>
        <v>26.354838709677416</v>
      </c>
      <c r="W177" s="13">
        <f t="shared" si="74"/>
        <v>328.29032258064512</v>
      </c>
      <c r="Y177" s="13">
        <f t="shared" si="79"/>
        <v>328.29032258064512</v>
      </c>
      <c r="Z177" s="12">
        <f t="shared" si="54"/>
        <v>21.20967741935484</v>
      </c>
      <c r="AA177" s="12">
        <f t="shared" si="75"/>
        <v>17</v>
      </c>
      <c r="AB177" s="1">
        <f t="shared" si="80"/>
        <v>0</v>
      </c>
      <c r="AC177" s="16">
        <f t="shared" si="82"/>
        <v>38.20967741935484</v>
      </c>
      <c r="AD177" s="16">
        <f t="shared" si="76"/>
        <v>392.85483870967738</v>
      </c>
    </row>
    <row r="178" spans="1:30" x14ac:dyDescent="0.2">
      <c r="A178" s="10" t="s">
        <v>315</v>
      </c>
      <c r="B178" s="11">
        <f t="shared" si="81"/>
        <v>156</v>
      </c>
      <c r="C178" s="11" t="s">
        <v>1236</v>
      </c>
      <c r="D178" s="19" t="s">
        <v>51</v>
      </c>
      <c r="E178" s="19" t="s">
        <v>658</v>
      </c>
      <c r="F178" s="22">
        <v>43017</v>
      </c>
      <c r="G178" s="11">
        <v>20</v>
      </c>
      <c r="H178" s="13">
        <f t="shared" si="68"/>
        <v>3225.8064516129029</v>
      </c>
      <c r="I178" s="13">
        <f t="shared" si="77"/>
        <v>0</v>
      </c>
      <c r="J178" s="13">
        <f t="shared" si="71"/>
        <v>161.29032258064515</v>
      </c>
      <c r="L178" s="13">
        <f t="shared" si="69"/>
        <v>516.12903225806451</v>
      </c>
      <c r="N178" s="13">
        <f t="shared" si="70"/>
        <v>3189.6774193548385</v>
      </c>
      <c r="O178" s="13">
        <v>0</v>
      </c>
      <c r="Q178" s="13">
        <f t="shared" si="78"/>
        <v>7092.9032258064508</v>
      </c>
      <c r="R178" s="12">
        <f t="shared" si="72"/>
        <v>387.09677419354836</v>
      </c>
      <c r="S178" s="12">
        <f t="shared" si="73"/>
        <v>125</v>
      </c>
      <c r="T178" s="21">
        <f t="shared" si="83"/>
        <v>0</v>
      </c>
      <c r="U178" s="13">
        <v>0</v>
      </c>
      <c r="V178" s="13">
        <f t="shared" si="67"/>
        <v>512.0967741935483</v>
      </c>
      <c r="W178" s="13">
        <f t="shared" si="74"/>
        <v>6580.8064516129025</v>
      </c>
      <c r="Y178" s="13">
        <f t="shared" si="79"/>
        <v>6580.8064516129025</v>
      </c>
      <c r="Z178" s="12">
        <f t="shared" si="54"/>
        <v>424.19354838709677</v>
      </c>
      <c r="AA178" s="12">
        <f t="shared" si="75"/>
        <v>337</v>
      </c>
      <c r="AB178" s="1">
        <f t="shared" si="80"/>
        <v>0</v>
      </c>
      <c r="AC178" s="16">
        <f t="shared" si="82"/>
        <v>761.19354838709683</v>
      </c>
      <c r="AD178" s="16">
        <f t="shared" si="76"/>
        <v>7854.0967741935474</v>
      </c>
    </row>
    <row r="179" spans="1:30" x14ac:dyDescent="0.2">
      <c r="A179" s="10" t="s">
        <v>315</v>
      </c>
      <c r="B179" s="11">
        <f t="shared" si="81"/>
        <v>157</v>
      </c>
      <c r="C179" s="11" t="s">
        <v>1237</v>
      </c>
      <c r="D179" s="19" t="s">
        <v>51</v>
      </c>
      <c r="E179" s="19" t="s">
        <v>658</v>
      </c>
      <c r="F179" s="22">
        <v>43017</v>
      </c>
      <c r="G179" s="11">
        <v>25</v>
      </c>
      <c r="H179" s="13">
        <f t="shared" si="68"/>
        <v>4032.2580645161288</v>
      </c>
      <c r="I179" s="13">
        <f t="shared" si="77"/>
        <v>0</v>
      </c>
      <c r="J179" s="13">
        <f t="shared" si="71"/>
        <v>201.61290322580646</v>
      </c>
      <c r="L179" s="13">
        <f t="shared" si="69"/>
        <v>645.16129032258061</v>
      </c>
      <c r="N179" s="13">
        <f t="shared" si="70"/>
        <v>3987.0967741935478</v>
      </c>
      <c r="O179" s="13">
        <v>0</v>
      </c>
      <c r="Q179" s="13">
        <f t="shared" si="78"/>
        <v>8866.1290322580644</v>
      </c>
      <c r="R179" s="12">
        <f t="shared" si="72"/>
        <v>483.87096774193543</v>
      </c>
      <c r="S179" s="12">
        <f t="shared" si="73"/>
        <v>156</v>
      </c>
      <c r="T179" s="21">
        <f t="shared" si="83"/>
        <v>175</v>
      </c>
      <c r="U179" s="13">
        <v>0</v>
      </c>
      <c r="V179" s="13">
        <f t="shared" si="67"/>
        <v>814.87096774193537</v>
      </c>
      <c r="W179" s="13">
        <f t="shared" si="74"/>
        <v>8051.2580645161288</v>
      </c>
      <c r="Y179" s="13">
        <f t="shared" si="79"/>
        <v>8051.2580645161288</v>
      </c>
      <c r="Z179" s="12">
        <f t="shared" si="54"/>
        <v>530.24193548387098</v>
      </c>
      <c r="AA179" s="12">
        <f t="shared" si="75"/>
        <v>422</v>
      </c>
      <c r="AB179" s="1">
        <f t="shared" si="80"/>
        <v>0</v>
      </c>
      <c r="AC179" s="16">
        <f t="shared" si="82"/>
        <v>952.24193548387098</v>
      </c>
      <c r="AD179" s="16">
        <f t="shared" si="76"/>
        <v>9818.3709677419356</v>
      </c>
    </row>
    <row r="180" spans="1:30" x14ac:dyDescent="0.2">
      <c r="A180" s="10" t="s">
        <v>315</v>
      </c>
      <c r="B180" s="11">
        <f t="shared" si="81"/>
        <v>158</v>
      </c>
      <c r="C180" s="11" t="s">
        <v>1238</v>
      </c>
      <c r="D180" s="19" t="s">
        <v>51</v>
      </c>
      <c r="E180" s="19" t="s">
        <v>658</v>
      </c>
      <c r="F180" s="22">
        <v>43018</v>
      </c>
      <c r="G180" s="11">
        <v>22</v>
      </c>
      <c r="H180" s="13">
        <f t="shared" si="68"/>
        <v>3548.3870967741932</v>
      </c>
      <c r="I180" s="13">
        <f t="shared" si="77"/>
        <v>0</v>
      </c>
      <c r="J180" s="13">
        <f t="shared" si="71"/>
        <v>177.41935483870967</v>
      </c>
      <c r="L180" s="13">
        <f t="shared" si="69"/>
        <v>567.74193548387098</v>
      </c>
      <c r="N180" s="13">
        <f t="shared" si="70"/>
        <v>3508.6451612903224</v>
      </c>
      <c r="O180" s="13">
        <v>0</v>
      </c>
      <c r="Q180" s="13">
        <f t="shared" si="78"/>
        <v>7802.1935483870966</v>
      </c>
      <c r="R180" s="12">
        <f t="shared" si="72"/>
        <v>425.80645161290317</v>
      </c>
      <c r="S180" s="12">
        <f t="shared" si="73"/>
        <v>137</v>
      </c>
      <c r="T180" s="21">
        <f t="shared" si="83"/>
        <v>175</v>
      </c>
      <c r="U180" s="13">
        <v>0</v>
      </c>
      <c r="V180" s="13">
        <f t="shared" si="67"/>
        <v>737.80645161290317</v>
      </c>
      <c r="W180" s="13">
        <f t="shared" si="74"/>
        <v>7064.3870967741932</v>
      </c>
      <c r="Y180" s="13">
        <f t="shared" si="79"/>
        <v>7064.3870967741932</v>
      </c>
      <c r="Z180" s="12">
        <f t="shared" si="54"/>
        <v>466.61290322580641</v>
      </c>
      <c r="AA180" s="12">
        <f t="shared" si="75"/>
        <v>371</v>
      </c>
      <c r="AB180" s="1">
        <f t="shared" si="80"/>
        <v>0</v>
      </c>
      <c r="AC180" s="16">
        <f t="shared" si="82"/>
        <v>837.61290322580635</v>
      </c>
      <c r="AD180" s="16">
        <f t="shared" si="76"/>
        <v>8639.8064516129034</v>
      </c>
    </row>
    <row r="181" spans="1:30" x14ac:dyDescent="0.2">
      <c r="A181" s="10" t="s">
        <v>315</v>
      </c>
      <c r="B181" s="11">
        <f t="shared" si="81"/>
        <v>159</v>
      </c>
      <c r="C181" s="11" t="s">
        <v>1239</v>
      </c>
      <c r="D181" s="19" t="s">
        <v>51</v>
      </c>
      <c r="E181" s="19" t="s">
        <v>658</v>
      </c>
      <c r="F181" s="22">
        <v>43018</v>
      </c>
      <c r="G181" s="11">
        <v>17</v>
      </c>
      <c r="H181" s="13">
        <f t="shared" si="68"/>
        <v>2741.9354838709678</v>
      </c>
      <c r="I181" s="13">
        <f t="shared" si="77"/>
        <v>0</v>
      </c>
      <c r="J181" s="13">
        <f t="shared" si="71"/>
        <v>137.09677419354838</v>
      </c>
      <c r="L181" s="13">
        <f t="shared" si="69"/>
        <v>438.70967741935482</v>
      </c>
      <c r="N181" s="13">
        <f t="shared" si="70"/>
        <v>2711.2258064516127</v>
      </c>
      <c r="O181" s="13">
        <v>0</v>
      </c>
      <c r="Q181" s="13">
        <f t="shared" si="78"/>
        <v>6028.967741935483</v>
      </c>
      <c r="R181" s="12">
        <f t="shared" si="72"/>
        <v>329.0322580645161</v>
      </c>
      <c r="S181" s="12">
        <f t="shared" si="73"/>
        <v>106</v>
      </c>
      <c r="T181" s="21">
        <f t="shared" si="83"/>
        <v>0</v>
      </c>
      <c r="U181" s="13">
        <v>0</v>
      </c>
      <c r="V181" s="13">
        <f t="shared" si="67"/>
        <v>435.0322580645161</v>
      </c>
      <c r="W181" s="13">
        <f t="shared" si="74"/>
        <v>5593.9354838709669</v>
      </c>
      <c r="Y181" s="13">
        <f t="shared" si="79"/>
        <v>5593.9354838709669</v>
      </c>
      <c r="Z181" s="12">
        <f t="shared" si="54"/>
        <v>360.56451612903226</v>
      </c>
      <c r="AA181" s="12">
        <f t="shared" si="75"/>
        <v>287</v>
      </c>
      <c r="AB181" s="1">
        <f t="shared" si="80"/>
        <v>0</v>
      </c>
      <c r="AC181" s="16">
        <f t="shared" si="82"/>
        <v>647.5645161290322</v>
      </c>
      <c r="AD181" s="16">
        <f t="shared" si="76"/>
        <v>6676.5322580645152</v>
      </c>
    </row>
    <row r="182" spans="1:30" x14ac:dyDescent="0.2">
      <c r="A182" s="10" t="s">
        <v>315</v>
      </c>
      <c r="B182" s="11">
        <f t="shared" si="81"/>
        <v>160</v>
      </c>
      <c r="C182" s="11" t="s">
        <v>1240</v>
      </c>
      <c r="D182" s="19" t="s">
        <v>51</v>
      </c>
      <c r="E182" s="19" t="s">
        <v>658</v>
      </c>
      <c r="F182" s="22">
        <v>43018</v>
      </c>
      <c r="G182" s="11">
        <v>18</v>
      </c>
      <c r="H182" s="13">
        <f t="shared" si="68"/>
        <v>2903.2258064516127</v>
      </c>
      <c r="I182" s="13">
        <f t="shared" si="77"/>
        <v>0</v>
      </c>
      <c r="J182" s="13">
        <f t="shared" si="71"/>
        <v>145.16129032258064</v>
      </c>
      <c r="L182" s="13">
        <f t="shared" si="69"/>
        <v>464.51612903225805</v>
      </c>
      <c r="N182" s="13">
        <f t="shared" si="70"/>
        <v>2870.7096774193546</v>
      </c>
      <c r="O182" s="13">
        <v>0</v>
      </c>
      <c r="Q182" s="13">
        <f t="shared" si="78"/>
        <v>6383.6129032258059</v>
      </c>
      <c r="R182" s="12">
        <f t="shared" si="72"/>
        <v>348.38709677419354</v>
      </c>
      <c r="S182" s="12">
        <f t="shared" si="73"/>
        <v>112</v>
      </c>
      <c r="T182" s="21">
        <f t="shared" si="83"/>
        <v>0</v>
      </c>
      <c r="U182" s="13">
        <v>0</v>
      </c>
      <c r="V182" s="13">
        <f t="shared" si="67"/>
        <v>460.38709677419354</v>
      </c>
      <c r="W182" s="13">
        <f t="shared" si="74"/>
        <v>5923.2258064516127</v>
      </c>
      <c r="Y182" s="13">
        <f t="shared" si="79"/>
        <v>5923.2258064516127</v>
      </c>
      <c r="Z182" s="12">
        <f t="shared" si="54"/>
        <v>381.77419354838707</v>
      </c>
      <c r="AA182" s="12">
        <f t="shared" si="75"/>
        <v>304</v>
      </c>
      <c r="AB182" s="1">
        <f t="shared" si="80"/>
        <v>0</v>
      </c>
      <c r="AC182" s="16">
        <f t="shared" si="82"/>
        <v>685.77419354838707</v>
      </c>
      <c r="AD182" s="16">
        <f t="shared" si="76"/>
        <v>7069.3870967741932</v>
      </c>
    </row>
    <row r="183" spans="1:30" x14ac:dyDescent="0.2">
      <c r="A183" s="10" t="s">
        <v>315</v>
      </c>
      <c r="B183" s="11">
        <f t="shared" si="81"/>
        <v>161</v>
      </c>
      <c r="C183" s="11" t="s">
        <v>1241</v>
      </c>
      <c r="D183" s="19" t="s">
        <v>51</v>
      </c>
      <c r="E183" s="19" t="s">
        <v>658</v>
      </c>
      <c r="F183" s="22">
        <v>43018</v>
      </c>
      <c r="G183" s="11">
        <v>22</v>
      </c>
      <c r="H183" s="13">
        <f t="shared" si="68"/>
        <v>3548.3870967741932</v>
      </c>
      <c r="I183" s="13">
        <f t="shared" si="77"/>
        <v>0</v>
      </c>
      <c r="J183" s="13">
        <f t="shared" si="71"/>
        <v>177.41935483870967</v>
      </c>
      <c r="L183" s="13">
        <f t="shared" si="69"/>
        <v>567.74193548387098</v>
      </c>
      <c r="N183" s="13">
        <f>((1950+1000+0)/G$3)*G183</f>
        <v>2093.5483870967741</v>
      </c>
      <c r="O183" s="13">
        <v>0</v>
      </c>
      <c r="Q183" s="13">
        <f t="shared" si="78"/>
        <v>6387.0967741935474</v>
      </c>
      <c r="R183" s="12">
        <f t="shared" si="72"/>
        <v>425.80645161290317</v>
      </c>
      <c r="S183" s="12">
        <f t="shared" si="73"/>
        <v>112</v>
      </c>
      <c r="T183" s="21">
        <f t="shared" si="83"/>
        <v>0</v>
      </c>
      <c r="U183" s="13">
        <v>0</v>
      </c>
      <c r="V183" s="13">
        <f t="shared" si="67"/>
        <v>537.80645161290317</v>
      </c>
      <c r="W183" s="13">
        <f t="shared" si="74"/>
        <v>5849.290322580644</v>
      </c>
      <c r="Y183" s="13">
        <f t="shared" si="79"/>
        <v>5849.290322580644</v>
      </c>
      <c r="Z183" s="12">
        <f t="shared" si="54"/>
        <v>466.61290322580641</v>
      </c>
      <c r="AA183" s="12">
        <f t="shared" si="75"/>
        <v>304</v>
      </c>
      <c r="AB183" s="1">
        <f t="shared" si="80"/>
        <v>0</v>
      </c>
      <c r="AC183" s="16">
        <f t="shared" si="82"/>
        <v>770.61290322580635</v>
      </c>
      <c r="AD183" s="16">
        <f t="shared" si="76"/>
        <v>7157.7096774193542</v>
      </c>
    </row>
    <row r="184" spans="1:30" x14ac:dyDescent="0.2">
      <c r="A184" s="10" t="s">
        <v>315</v>
      </c>
      <c r="B184" s="11">
        <f t="shared" si="81"/>
        <v>162</v>
      </c>
      <c r="C184" s="11" t="s">
        <v>1242</v>
      </c>
      <c r="D184" s="19" t="s">
        <v>51</v>
      </c>
      <c r="E184" s="19" t="s">
        <v>658</v>
      </c>
      <c r="F184" s="22">
        <v>43019</v>
      </c>
      <c r="G184" s="11">
        <v>1</v>
      </c>
      <c r="H184" s="13">
        <f t="shared" si="68"/>
        <v>161.29032258064515</v>
      </c>
      <c r="I184" s="13">
        <f t="shared" si="77"/>
        <v>0</v>
      </c>
      <c r="J184" s="13">
        <f t="shared" si="71"/>
        <v>8.064516129032258</v>
      </c>
      <c r="L184" s="13">
        <f t="shared" si="69"/>
        <v>25.806451612903224</v>
      </c>
      <c r="N184" s="13">
        <f t="shared" si="70"/>
        <v>159.48387096774192</v>
      </c>
      <c r="O184" s="13">
        <v>0</v>
      </c>
      <c r="Q184" s="13">
        <f t="shared" si="78"/>
        <v>354.64516129032256</v>
      </c>
      <c r="R184" s="12">
        <f t="shared" si="72"/>
        <v>19.354838709677416</v>
      </c>
      <c r="S184" s="12">
        <f t="shared" si="73"/>
        <v>7</v>
      </c>
      <c r="T184" s="21">
        <f t="shared" si="83"/>
        <v>0</v>
      </c>
      <c r="U184" s="13">
        <v>0</v>
      </c>
      <c r="V184" s="13">
        <f t="shared" si="67"/>
        <v>26.354838709677416</v>
      </c>
      <c r="W184" s="13">
        <f t="shared" si="74"/>
        <v>328.29032258064512</v>
      </c>
      <c r="Y184" s="13">
        <f t="shared" si="79"/>
        <v>328.29032258064512</v>
      </c>
      <c r="Z184" s="12">
        <f t="shared" si="54"/>
        <v>21.20967741935484</v>
      </c>
      <c r="AA184" s="12">
        <f t="shared" si="75"/>
        <v>17</v>
      </c>
      <c r="AB184" s="1">
        <f t="shared" si="80"/>
        <v>0</v>
      </c>
      <c r="AC184" s="16">
        <f t="shared" si="82"/>
        <v>38.20967741935484</v>
      </c>
      <c r="AD184" s="16">
        <f t="shared" si="76"/>
        <v>392.85483870967738</v>
      </c>
    </row>
    <row r="185" spans="1:30" x14ac:dyDescent="0.2">
      <c r="A185" s="10" t="s">
        <v>315</v>
      </c>
      <c r="B185" s="11">
        <f t="shared" si="81"/>
        <v>163</v>
      </c>
      <c r="C185" s="11" t="s">
        <v>1243</v>
      </c>
      <c r="D185" s="19" t="s">
        <v>51</v>
      </c>
      <c r="E185" s="19" t="s">
        <v>658</v>
      </c>
      <c r="F185" s="22">
        <v>43020</v>
      </c>
      <c r="G185" s="11">
        <v>18</v>
      </c>
      <c r="H185" s="13">
        <f t="shared" si="68"/>
        <v>2903.2258064516127</v>
      </c>
      <c r="I185" s="13">
        <f t="shared" si="77"/>
        <v>0</v>
      </c>
      <c r="J185" s="13">
        <f t="shared" si="71"/>
        <v>145.16129032258064</v>
      </c>
      <c r="L185" s="13">
        <f t="shared" si="69"/>
        <v>464.51612903225805</v>
      </c>
      <c r="N185" s="13">
        <f t="shared" si="70"/>
        <v>2870.7096774193546</v>
      </c>
      <c r="O185" s="13">
        <v>0</v>
      </c>
      <c r="Q185" s="13">
        <f t="shared" si="78"/>
        <v>6383.6129032258059</v>
      </c>
      <c r="R185" s="12">
        <f t="shared" si="72"/>
        <v>348.38709677419354</v>
      </c>
      <c r="S185" s="12">
        <f t="shared" si="73"/>
        <v>112</v>
      </c>
      <c r="T185" s="21">
        <f t="shared" si="83"/>
        <v>0</v>
      </c>
      <c r="U185" s="13">
        <v>0</v>
      </c>
      <c r="V185" s="13">
        <f t="shared" si="67"/>
        <v>460.38709677419354</v>
      </c>
      <c r="W185" s="13">
        <f t="shared" si="74"/>
        <v>5923.2258064516127</v>
      </c>
      <c r="Y185" s="13">
        <f t="shared" si="79"/>
        <v>5923.2258064516127</v>
      </c>
      <c r="Z185" s="12">
        <f t="shared" si="54"/>
        <v>381.77419354838707</v>
      </c>
      <c r="AA185" s="12">
        <f t="shared" si="75"/>
        <v>304</v>
      </c>
      <c r="AB185" s="1">
        <f t="shared" si="80"/>
        <v>0</v>
      </c>
      <c r="AC185" s="16">
        <f t="shared" si="82"/>
        <v>685.77419354838707</v>
      </c>
      <c r="AD185" s="16">
        <f t="shared" si="76"/>
        <v>7069.3870967741932</v>
      </c>
    </row>
    <row r="186" spans="1:30" x14ac:dyDescent="0.2">
      <c r="A186" s="10" t="s">
        <v>315</v>
      </c>
      <c r="B186" s="11">
        <f t="shared" si="81"/>
        <v>164</v>
      </c>
      <c r="C186" s="11" t="s">
        <v>1244</v>
      </c>
      <c r="D186" s="19" t="s">
        <v>51</v>
      </c>
      <c r="E186" s="19" t="s">
        <v>658</v>
      </c>
      <c r="F186" s="22">
        <v>43020</v>
      </c>
      <c r="G186" s="11">
        <v>18</v>
      </c>
      <c r="H186" s="13">
        <f t="shared" si="68"/>
        <v>2903.2258064516127</v>
      </c>
      <c r="I186" s="13">
        <f t="shared" si="77"/>
        <v>0</v>
      </c>
      <c r="J186" s="13">
        <f t="shared" si="71"/>
        <v>145.16129032258064</v>
      </c>
      <c r="L186" s="13">
        <f t="shared" si="69"/>
        <v>464.51612903225805</v>
      </c>
      <c r="N186" s="13">
        <f t="shared" si="70"/>
        <v>2870.7096774193546</v>
      </c>
      <c r="O186" s="13">
        <v>0</v>
      </c>
      <c r="Q186" s="13">
        <f t="shared" si="78"/>
        <v>6383.6129032258059</v>
      </c>
      <c r="R186" s="12">
        <f t="shared" si="72"/>
        <v>348.38709677419354</v>
      </c>
      <c r="S186" s="12">
        <f t="shared" si="73"/>
        <v>112</v>
      </c>
      <c r="T186" s="21">
        <f t="shared" si="83"/>
        <v>0</v>
      </c>
      <c r="U186" s="13">
        <v>0</v>
      </c>
      <c r="V186" s="13">
        <f t="shared" si="67"/>
        <v>460.38709677419354</v>
      </c>
      <c r="W186" s="13">
        <f t="shared" si="74"/>
        <v>5923.2258064516127</v>
      </c>
      <c r="Y186" s="13">
        <f t="shared" si="79"/>
        <v>5923.2258064516127</v>
      </c>
      <c r="Z186" s="12">
        <f t="shared" si="54"/>
        <v>381.77419354838707</v>
      </c>
      <c r="AA186" s="12">
        <f t="shared" si="75"/>
        <v>304</v>
      </c>
      <c r="AB186" s="1">
        <f t="shared" si="80"/>
        <v>0</v>
      </c>
      <c r="AC186" s="16">
        <f t="shared" si="82"/>
        <v>685.77419354838707</v>
      </c>
      <c r="AD186" s="16">
        <f t="shared" si="76"/>
        <v>7069.3870967741932</v>
      </c>
    </row>
    <row r="187" spans="1:30" x14ac:dyDescent="0.2">
      <c r="A187" s="10" t="s">
        <v>315</v>
      </c>
      <c r="B187" s="11">
        <f t="shared" si="81"/>
        <v>165</v>
      </c>
      <c r="C187" s="11" t="s">
        <v>1245</v>
      </c>
      <c r="D187" s="19" t="s">
        <v>51</v>
      </c>
      <c r="E187" s="19" t="s">
        <v>658</v>
      </c>
      <c r="F187" s="22">
        <v>43020</v>
      </c>
      <c r="G187" s="11">
        <v>6</v>
      </c>
      <c r="H187" s="13">
        <f t="shared" si="68"/>
        <v>967.74193548387098</v>
      </c>
      <c r="I187" s="13">
        <f t="shared" si="77"/>
        <v>0</v>
      </c>
      <c r="J187" s="13">
        <f t="shared" si="71"/>
        <v>48.387096774193552</v>
      </c>
      <c r="L187" s="13">
        <f t="shared" si="69"/>
        <v>154.83870967741933</v>
      </c>
      <c r="N187" s="13">
        <f t="shared" si="70"/>
        <v>956.90322580645147</v>
      </c>
      <c r="O187" s="13">
        <v>0</v>
      </c>
      <c r="Q187" s="13">
        <f t="shared" si="78"/>
        <v>2127.8709677419356</v>
      </c>
      <c r="R187" s="12">
        <f t="shared" si="72"/>
        <v>116.12903225806451</v>
      </c>
      <c r="S187" s="12">
        <f t="shared" si="73"/>
        <v>38</v>
      </c>
      <c r="T187" s="21">
        <f t="shared" si="83"/>
        <v>0</v>
      </c>
      <c r="U187" s="13">
        <v>0</v>
      </c>
      <c r="V187" s="13">
        <f t="shared" ref="V187:V209" si="84">SUM(R187:U187)</f>
        <v>154.12903225806451</v>
      </c>
      <c r="W187" s="13">
        <f t="shared" si="74"/>
        <v>1973.7419354838712</v>
      </c>
      <c r="Y187" s="13">
        <f t="shared" si="79"/>
        <v>1973.7419354838712</v>
      </c>
      <c r="Z187" s="12">
        <f t="shared" si="54"/>
        <v>127.25806451612904</v>
      </c>
      <c r="AA187" s="12">
        <f t="shared" si="75"/>
        <v>102</v>
      </c>
      <c r="AB187" s="1">
        <f t="shared" si="80"/>
        <v>0</v>
      </c>
      <c r="AC187" s="16">
        <f t="shared" si="82"/>
        <v>229.25806451612902</v>
      </c>
      <c r="AD187" s="16">
        <f t="shared" si="76"/>
        <v>2357.1290322580644</v>
      </c>
    </row>
    <row r="188" spans="1:30" x14ac:dyDescent="0.2">
      <c r="A188" s="10" t="s">
        <v>315</v>
      </c>
      <c r="B188" s="11">
        <f t="shared" si="81"/>
        <v>166</v>
      </c>
      <c r="C188" s="11" t="s">
        <v>1246</v>
      </c>
      <c r="D188" s="19" t="s">
        <v>51</v>
      </c>
      <c r="E188" s="19" t="s">
        <v>658</v>
      </c>
      <c r="F188" s="22">
        <v>43020</v>
      </c>
      <c r="G188" s="11">
        <v>11</v>
      </c>
      <c r="H188" s="13">
        <f t="shared" si="68"/>
        <v>1774.1935483870966</v>
      </c>
      <c r="I188" s="13">
        <f t="shared" si="77"/>
        <v>0</v>
      </c>
      <c r="J188" s="13">
        <f t="shared" si="71"/>
        <v>88.709677419354833</v>
      </c>
      <c r="L188" s="13">
        <f t="shared" si="69"/>
        <v>283.87096774193549</v>
      </c>
      <c r="N188" s="13">
        <f t="shared" si="70"/>
        <v>1754.3225806451612</v>
      </c>
      <c r="O188" s="13">
        <v>0</v>
      </c>
      <c r="Q188" s="13">
        <f t="shared" si="78"/>
        <v>3901.0967741935483</v>
      </c>
      <c r="R188" s="12">
        <f t="shared" si="72"/>
        <v>212.90322580645159</v>
      </c>
      <c r="S188" s="12">
        <f t="shared" si="73"/>
        <v>69</v>
      </c>
      <c r="T188" s="21">
        <f t="shared" si="83"/>
        <v>0</v>
      </c>
      <c r="U188" s="13">
        <v>0</v>
      </c>
      <c r="V188" s="13">
        <f t="shared" si="84"/>
        <v>281.90322580645159</v>
      </c>
      <c r="W188" s="13">
        <f t="shared" si="74"/>
        <v>3619.1935483870966</v>
      </c>
      <c r="Y188" s="13">
        <f t="shared" si="79"/>
        <v>3619.1935483870966</v>
      </c>
      <c r="Z188" s="12">
        <f t="shared" si="54"/>
        <v>233.3064516129032</v>
      </c>
      <c r="AA188" s="12">
        <f t="shared" si="75"/>
        <v>186</v>
      </c>
      <c r="AB188" s="1">
        <f t="shared" si="80"/>
        <v>0</v>
      </c>
      <c r="AC188" s="16">
        <f t="shared" si="82"/>
        <v>419.30645161290317</v>
      </c>
      <c r="AD188" s="16">
        <f t="shared" si="76"/>
        <v>4320.4032258064517</v>
      </c>
    </row>
    <row r="189" spans="1:30" x14ac:dyDescent="0.2">
      <c r="A189" s="10" t="s">
        <v>315</v>
      </c>
      <c r="B189" s="11">
        <f t="shared" si="81"/>
        <v>167</v>
      </c>
      <c r="C189" s="11" t="s">
        <v>1247</v>
      </c>
      <c r="D189" s="19" t="s">
        <v>51</v>
      </c>
      <c r="E189" s="19" t="s">
        <v>658</v>
      </c>
      <c r="F189" s="22">
        <v>43020</v>
      </c>
      <c r="G189" s="11">
        <v>12</v>
      </c>
      <c r="H189" s="13">
        <f t="shared" ref="H189:H252" si="85">(5000/G$3)*G189</f>
        <v>1935.483870967742</v>
      </c>
      <c r="I189" s="13">
        <f t="shared" si="77"/>
        <v>0</v>
      </c>
      <c r="J189" s="13">
        <f t="shared" si="71"/>
        <v>96.774193548387103</v>
      </c>
      <c r="L189" s="13">
        <f t="shared" ref="L189:L209" si="86">((800)/G$3)*G189</f>
        <v>309.67741935483866</v>
      </c>
      <c r="N189" s="13">
        <f t="shared" ref="N189:N208" si="87">((1950+2000+994)/G$3)*G189</f>
        <v>1913.8064516129029</v>
      </c>
      <c r="O189" s="13">
        <v>0</v>
      </c>
      <c r="Q189" s="13">
        <f t="shared" si="78"/>
        <v>4255.7419354838712</v>
      </c>
      <c r="R189" s="12">
        <f t="shared" si="72"/>
        <v>232.25806451612902</v>
      </c>
      <c r="S189" s="12">
        <f t="shared" si="73"/>
        <v>75</v>
      </c>
      <c r="T189" s="21">
        <f t="shared" si="83"/>
        <v>0</v>
      </c>
      <c r="U189" s="13">
        <v>0</v>
      </c>
      <c r="V189" s="13">
        <f t="shared" si="84"/>
        <v>307.25806451612902</v>
      </c>
      <c r="W189" s="13">
        <f t="shared" si="74"/>
        <v>3948.4838709677424</v>
      </c>
      <c r="Y189" s="13">
        <f t="shared" si="79"/>
        <v>3948.4838709677424</v>
      </c>
      <c r="Z189" s="12">
        <f t="shared" si="54"/>
        <v>254.51612903225808</v>
      </c>
      <c r="AA189" s="12">
        <f t="shared" si="75"/>
        <v>203</v>
      </c>
      <c r="AB189" s="1">
        <f t="shared" si="80"/>
        <v>0</v>
      </c>
      <c r="AC189" s="16">
        <f t="shared" si="82"/>
        <v>457.51612903225805</v>
      </c>
      <c r="AD189" s="16">
        <f t="shared" si="76"/>
        <v>4713.2580645161288</v>
      </c>
    </row>
    <row r="190" spans="1:30" x14ac:dyDescent="0.2">
      <c r="A190" s="10" t="s">
        <v>315</v>
      </c>
      <c r="B190" s="11">
        <f t="shared" si="81"/>
        <v>168</v>
      </c>
      <c r="C190" s="11" t="s">
        <v>1248</v>
      </c>
      <c r="D190" s="19" t="s">
        <v>51</v>
      </c>
      <c r="E190" s="19" t="s">
        <v>658</v>
      </c>
      <c r="F190" s="22">
        <v>43021</v>
      </c>
      <c r="G190" s="11">
        <v>21</v>
      </c>
      <c r="H190" s="13">
        <f t="shared" si="85"/>
        <v>3387.0967741935483</v>
      </c>
      <c r="I190" s="13">
        <f t="shared" si="77"/>
        <v>0</v>
      </c>
      <c r="J190" s="13">
        <f t="shared" si="71"/>
        <v>169.35483870967744</v>
      </c>
      <c r="L190" s="13">
        <f t="shared" si="86"/>
        <v>541.93548387096769</v>
      </c>
      <c r="N190" s="13">
        <f t="shared" si="87"/>
        <v>3349.1612903225805</v>
      </c>
      <c r="O190" s="13">
        <v>0</v>
      </c>
      <c r="Q190" s="13">
        <f t="shared" si="78"/>
        <v>7447.5483870967737</v>
      </c>
      <c r="R190" s="12">
        <f t="shared" si="72"/>
        <v>406.45161290322579</v>
      </c>
      <c r="S190" s="12">
        <f t="shared" si="73"/>
        <v>131</v>
      </c>
      <c r="T190" s="21">
        <f t="shared" si="83"/>
        <v>0</v>
      </c>
      <c r="U190" s="13">
        <v>0</v>
      </c>
      <c r="V190" s="13">
        <f t="shared" si="84"/>
        <v>537.45161290322585</v>
      </c>
      <c r="W190" s="13">
        <f t="shared" si="74"/>
        <v>6910.0967741935474</v>
      </c>
      <c r="Y190" s="13">
        <f t="shared" si="79"/>
        <v>6910.0967741935474</v>
      </c>
      <c r="Z190" s="12">
        <f t="shared" si="54"/>
        <v>445.40322580645164</v>
      </c>
      <c r="AA190" s="12">
        <f t="shared" si="75"/>
        <v>354</v>
      </c>
      <c r="AB190" s="1">
        <f t="shared" si="80"/>
        <v>0</v>
      </c>
      <c r="AC190" s="16">
        <f t="shared" si="82"/>
        <v>799.4032258064517</v>
      </c>
      <c r="AD190" s="16">
        <f t="shared" si="76"/>
        <v>8246.9516129032254</v>
      </c>
    </row>
    <row r="191" spans="1:30" x14ac:dyDescent="0.2">
      <c r="A191" s="10" t="s">
        <v>315</v>
      </c>
      <c r="B191" s="11">
        <f t="shared" si="81"/>
        <v>169</v>
      </c>
      <c r="C191" s="11" t="s">
        <v>1249</v>
      </c>
      <c r="D191" s="19" t="s">
        <v>51</v>
      </c>
      <c r="E191" s="19" t="s">
        <v>237</v>
      </c>
      <c r="F191" s="22">
        <v>43021</v>
      </c>
      <c r="G191" s="11">
        <v>21</v>
      </c>
      <c r="H191" s="13">
        <f t="shared" si="85"/>
        <v>3387.0967741935483</v>
      </c>
      <c r="I191" s="13">
        <f t="shared" si="77"/>
        <v>0</v>
      </c>
      <c r="J191" s="13">
        <f t="shared" si="71"/>
        <v>169.35483870967744</v>
      </c>
      <c r="L191" s="13">
        <f t="shared" si="86"/>
        <v>541.93548387096769</v>
      </c>
      <c r="N191" s="13">
        <f t="shared" si="87"/>
        <v>3349.1612903225805</v>
      </c>
      <c r="O191" s="13">
        <v>0</v>
      </c>
      <c r="Q191" s="13">
        <f t="shared" si="78"/>
        <v>7447.5483870967737</v>
      </c>
      <c r="R191" s="12">
        <f t="shared" si="72"/>
        <v>406.45161290322579</v>
      </c>
      <c r="S191" s="12">
        <f t="shared" si="73"/>
        <v>131</v>
      </c>
      <c r="T191" s="21">
        <f t="shared" si="83"/>
        <v>0</v>
      </c>
      <c r="U191" s="13">
        <v>0</v>
      </c>
      <c r="V191" s="13">
        <f t="shared" si="84"/>
        <v>537.45161290322585</v>
      </c>
      <c r="W191" s="13">
        <f t="shared" si="74"/>
        <v>6910.0967741935474</v>
      </c>
      <c r="Y191" s="13">
        <f t="shared" si="79"/>
        <v>6910.0967741935474</v>
      </c>
      <c r="Z191" s="12">
        <f t="shared" si="54"/>
        <v>445.40322580645164</v>
      </c>
      <c r="AA191" s="12">
        <f t="shared" si="75"/>
        <v>354</v>
      </c>
      <c r="AB191" s="1">
        <f t="shared" si="80"/>
        <v>0</v>
      </c>
      <c r="AC191" s="16">
        <f t="shared" si="82"/>
        <v>799.4032258064517</v>
      </c>
      <c r="AD191" s="16">
        <f t="shared" si="76"/>
        <v>8246.9516129032254</v>
      </c>
    </row>
    <row r="192" spans="1:30" x14ac:dyDescent="0.2">
      <c r="A192" s="10" t="s">
        <v>315</v>
      </c>
      <c r="B192" s="11">
        <f t="shared" si="81"/>
        <v>170</v>
      </c>
      <c r="C192" s="11" t="s">
        <v>1250</v>
      </c>
      <c r="D192" s="19" t="s">
        <v>51</v>
      </c>
      <c r="E192" s="19" t="s">
        <v>658</v>
      </c>
      <c r="F192" s="22">
        <v>43022</v>
      </c>
      <c r="G192" s="11">
        <v>15</v>
      </c>
      <c r="H192" s="13">
        <f t="shared" si="85"/>
        <v>2419.3548387096771</v>
      </c>
      <c r="I192" s="13">
        <f t="shared" si="77"/>
        <v>0</v>
      </c>
      <c r="J192" s="13">
        <f t="shared" si="71"/>
        <v>120.96774193548386</v>
      </c>
      <c r="L192" s="13">
        <f t="shared" si="86"/>
        <v>387.09677419354836</v>
      </c>
      <c r="N192" s="13">
        <f t="shared" si="87"/>
        <v>2392.2580645161288</v>
      </c>
      <c r="O192" s="13">
        <v>0</v>
      </c>
      <c r="Q192" s="13">
        <f t="shared" si="78"/>
        <v>5319.6774193548381</v>
      </c>
      <c r="R192" s="12">
        <f t="shared" si="72"/>
        <v>290.32258064516122</v>
      </c>
      <c r="S192" s="12">
        <f t="shared" si="73"/>
        <v>94</v>
      </c>
      <c r="T192" s="21">
        <f t="shared" si="83"/>
        <v>0</v>
      </c>
      <c r="U192" s="13">
        <v>0</v>
      </c>
      <c r="V192" s="13">
        <f t="shared" si="84"/>
        <v>384.32258064516122</v>
      </c>
      <c r="W192" s="13">
        <f t="shared" si="74"/>
        <v>4935.3548387096771</v>
      </c>
      <c r="Y192" s="13">
        <f t="shared" si="79"/>
        <v>4935.3548387096771</v>
      </c>
      <c r="Z192" s="12">
        <f t="shared" si="54"/>
        <v>318.14516129032256</v>
      </c>
      <c r="AA192" s="12">
        <f t="shared" si="75"/>
        <v>253</v>
      </c>
      <c r="AB192" s="1">
        <f t="shared" si="80"/>
        <v>0</v>
      </c>
      <c r="AC192" s="16">
        <f t="shared" si="82"/>
        <v>571.14516129032256</v>
      </c>
      <c r="AD192" s="16">
        <f t="shared" si="76"/>
        <v>5890.822580645161</v>
      </c>
    </row>
    <row r="193" spans="1:30" x14ac:dyDescent="0.2">
      <c r="A193" s="10" t="s">
        <v>315</v>
      </c>
      <c r="B193" s="11">
        <f t="shared" si="81"/>
        <v>171</v>
      </c>
      <c r="C193" s="59" t="s">
        <v>1251</v>
      </c>
      <c r="D193" s="19" t="s">
        <v>51</v>
      </c>
      <c r="E193" s="19" t="s">
        <v>1376</v>
      </c>
      <c r="F193" s="22">
        <v>43022</v>
      </c>
      <c r="G193" s="11">
        <v>15</v>
      </c>
      <c r="H193" s="13">
        <f t="shared" si="85"/>
        <v>2419.3548387096771</v>
      </c>
      <c r="I193" s="13">
        <f t="shared" si="77"/>
        <v>0</v>
      </c>
      <c r="J193" s="13">
        <f t="shared" si="71"/>
        <v>120.96774193548386</v>
      </c>
      <c r="L193" s="13">
        <f t="shared" si="86"/>
        <v>387.09677419354836</v>
      </c>
      <c r="N193" s="13">
        <f t="shared" si="87"/>
        <v>2392.2580645161288</v>
      </c>
      <c r="O193" s="13">
        <v>0</v>
      </c>
      <c r="Q193" s="13">
        <f t="shared" si="78"/>
        <v>5319.6774193548381</v>
      </c>
      <c r="R193" s="12">
        <f t="shared" si="72"/>
        <v>290.32258064516122</v>
      </c>
      <c r="S193" s="12">
        <f t="shared" si="73"/>
        <v>94</v>
      </c>
      <c r="T193" s="21">
        <f t="shared" si="83"/>
        <v>0</v>
      </c>
      <c r="U193" s="13">
        <v>0</v>
      </c>
      <c r="V193" s="13">
        <f t="shared" si="84"/>
        <v>384.32258064516122</v>
      </c>
      <c r="W193" s="13">
        <f t="shared" si="74"/>
        <v>4935.3548387096771</v>
      </c>
      <c r="Y193" s="13">
        <f t="shared" si="79"/>
        <v>4935.3548387096771</v>
      </c>
      <c r="Z193" s="12">
        <f t="shared" si="54"/>
        <v>318.14516129032256</v>
      </c>
      <c r="AA193" s="12">
        <f t="shared" si="75"/>
        <v>253</v>
      </c>
      <c r="AB193" s="1">
        <f t="shared" si="80"/>
        <v>0</v>
      </c>
      <c r="AC193" s="16">
        <f t="shared" si="82"/>
        <v>571.14516129032256</v>
      </c>
      <c r="AD193" s="16">
        <f t="shared" si="76"/>
        <v>5890.822580645161</v>
      </c>
    </row>
    <row r="194" spans="1:30" x14ac:dyDescent="0.2">
      <c r="A194" s="10" t="s">
        <v>315</v>
      </c>
      <c r="B194" s="11">
        <f t="shared" si="81"/>
        <v>172</v>
      </c>
      <c r="C194" s="11" t="s">
        <v>1252</v>
      </c>
      <c r="D194" s="19" t="s">
        <v>51</v>
      </c>
      <c r="E194" s="19" t="s">
        <v>236</v>
      </c>
      <c r="F194" s="22">
        <v>43022</v>
      </c>
      <c r="G194" s="11">
        <v>19</v>
      </c>
      <c r="H194" s="13">
        <f t="shared" si="85"/>
        <v>3064.516129032258</v>
      </c>
      <c r="I194" s="13">
        <f t="shared" si="77"/>
        <v>0</v>
      </c>
      <c r="J194" s="13">
        <f t="shared" si="71"/>
        <v>153.2258064516129</v>
      </c>
      <c r="L194" s="13">
        <f t="shared" si="86"/>
        <v>490.32258064516128</v>
      </c>
      <c r="N194" s="13">
        <f>((1950+1000+0)/G$3)*G194</f>
        <v>1808.0645161290322</v>
      </c>
      <c r="O194" s="13">
        <v>0</v>
      </c>
      <c r="Q194" s="13">
        <f t="shared" si="78"/>
        <v>5516.1290322580644</v>
      </c>
      <c r="R194" s="12">
        <f t="shared" si="72"/>
        <v>367.74193548387098</v>
      </c>
      <c r="S194" s="12">
        <f t="shared" si="73"/>
        <v>97</v>
      </c>
      <c r="T194" s="21">
        <f t="shared" si="83"/>
        <v>0</v>
      </c>
      <c r="U194" s="13">
        <v>0</v>
      </c>
      <c r="V194" s="13">
        <f t="shared" si="84"/>
        <v>464.74193548387098</v>
      </c>
      <c r="W194" s="13">
        <f t="shared" si="74"/>
        <v>5051.3870967741932</v>
      </c>
      <c r="Y194" s="13">
        <f t="shared" si="79"/>
        <v>5051.3870967741932</v>
      </c>
      <c r="Z194" s="12">
        <f t="shared" si="54"/>
        <v>402.98387096774195</v>
      </c>
      <c r="AA194" s="12">
        <f t="shared" si="75"/>
        <v>263</v>
      </c>
      <c r="AB194" s="1">
        <f t="shared" si="80"/>
        <v>0</v>
      </c>
      <c r="AC194" s="16">
        <f t="shared" si="82"/>
        <v>665.98387096774195</v>
      </c>
      <c r="AD194" s="16">
        <f t="shared" si="76"/>
        <v>6182.1129032258068</v>
      </c>
    </row>
    <row r="195" spans="1:30" x14ac:dyDescent="0.2">
      <c r="A195" s="10" t="s">
        <v>315</v>
      </c>
      <c r="B195" s="11">
        <f t="shared" si="81"/>
        <v>173</v>
      </c>
      <c r="C195" s="11" t="s">
        <v>1253</v>
      </c>
      <c r="D195" s="19" t="s">
        <v>51</v>
      </c>
      <c r="E195" s="19" t="s">
        <v>658</v>
      </c>
      <c r="F195" s="22">
        <v>43023</v>
      </c>
      <c r="G195" s="11">
        <v>19</v>
      </c>
      <c r="H195" s="13">
        <f t="shared" si="85"/>
        <v>3064.516129032258</v>
      </c>
      <c r="I195" s="13">
        <f t="shared" si="77"/>
        <v>0</v>
      </c>
      <c r="J195" s="13">
        <f t="shared" si="71"/>
        <v>153.2258064516129</v>
      </c>
      <c r="L195" s="13">
        <f t="shared" si="86"/>
        <v>490.32258064516128</v>
      </c>
      <c r="N195" s="13">
        <f t="shared" si="87"/>
        <v>3030.1935483870966</v>
      </c>
      <c r="O195" s="13">
        <v>0</v>
      </c>
      <c r="Q195" s="13">
        <f t="shared" si="78"/>
        <v>6738.2580645161288</v>
      </c>
      <c r="R195" s="12">
        <f t="shared" si="72"/>
        <v>367.74193548387098</v>
      </c>
      <c r="S195" s="12">
        <f t="shared" si="73"/>
        <v>118</v>
      </c>
      <c r="T195" s="21">
        <f t="shared" si="83"/>
        <v>0</v>
      </c>
      <c r="U195" s="13">
        <v>0</v>
      </c>
      <c r="V195" s="13">
        <f t="shared" si="84"/>
        <v>485.74193548387098</v>
      </c>
      <c r="W195" s="13">
        <f t="shared" si="74"/>
        <v>6252.5161290322576</v>
      </c>
      <c r="Y195" s="13">
        <f t="shared" si="79"/>
        <v>6252.5161290322576</v>
      </c>
      <c r="Z195" s="12">
        <f t="shared" si="54"/>
        <v>402.98387096774195</v>
      </c>
      <c r="AA195" s="12">
        <f t="shared" si="75"/>
        <v>321</v>
      </c>
      <c r="AB195" s="1">
        <f t="shared" si="80"/>
        <v>0</v>
      </c>
      <c r="AC195" s="16">
        <f t="shared" si="82"/>
        <v>723.98387096774195</v>
      </c>
      <c r="AD195" s="16">
        <f t="shared" si="76"/>
        <v>7462.2419354838712</v>
      </c>
    </row>
    <row r="196" spans="1:30" x14ac:dyDescent="0.2">
      <c r="A196" s="10" t="s">
        <v>315</v>
      </c>
      <c r="B196" s="11">
        <f t="shared" si="81"/>
        <v>174</v>
      </c>
      <c r="C196" s="11" t="s">
        <v>1254</v>
      </c>
      <c r="D196" s="19" t="s">
        <v>51</v>
      </c>
      <c r="E196" s="19" t="s">
        <v>658</v>
      </c>
      <c r="F196" s="22">
        <v>43024</v>
      </c>
      <c r="G196" s="11">
        <v>4</v>
      </c>
      <c r="H196" s="13">
        <f t="shared" si="85"/>
        <v>645.16129032258061</v>
      </c>
      <c r="I196" s="13">
        <f t="shared" si="77"/>
        <v>0</v>
      </c>
      <c r="J196" s="13">
        <f t="shared" si="71"/>
        <v>32.258064516129032</v>
      </c>
      <c r="L196" s="13">
        <f t="shared" si="86"/>
        <v>103.2258064516129</v>
      </c>
      <c r="N196" s="13">
        <f t="shared" si="87"/>
        <v>637.93548387096769</v>
      </c>
      <c r="O196" s="13">
        <v>0</v>
      </c>
      <c r="Q196" s="13">
        <f t="shared" si="78"/>
        <v>1418.5806451612902</v>
      </c>
      <c r="R196" s="12">
        <f t="shared" si="72"/>
        <v>77.419354838709666</v>
      </c>
      <c r="S196" s="12">
        <f t="shared" si="73"/>
        <v>25</v>
      </c>
      <c r="T196" s="21">
        <f t="shared" si="83"/>
        <v>0</v>
      </c>
      <c r="U196" s="13">
        <v>0</v>
      </c>
      <c r="V196" s="13">
        <f t="shared" si="84"/>
        <v>102.41935483870967</v>
      </c>
      <c r="W196" s="13">
        <f t="shared" si="74"/>
        <v>1316.1612903225805</v>
      </c>
      <c r="Y196" s="13">
        <f t="shared" si="79"/>
        <v>1316.1612903225805</v>
      </c>
      <c r="Z196" s="12">
        <f t="shared" si="54"/>
        <v>84.838709677419359</v>
      </c>
      <c r="AA196" s="12">
        <f t="shared" si="75"/>
        <v>68</v>
      </c>
      <c r="AB196" s="1">
        <f t="shared" si="80"/>
        <v>0</v>
      </c>
      <c r="AC196" s="16">
        <f t="shared" si="82"/>
        <v>152.83870967741936</v>
      </c>
      <c r="AD196" s="16">
        <f t="shared" si="76"/>
        <v>1571.4193548387095</v>
      </c>
    </row>
    <row r="197" spans="1:30" x14ac:dyDescent="0.2">
      <c r="A197" s="10" t="s">
        <v>315</v>
      </c>
      <c r="B197" s="11">
        <f t="shared" si="81"/>
        <v>175</v>
      </c>
      <c r="C197" s="11" t="s">
        <v>1255</v>
      </c>
      <c r="D197" s="19" t="s">
        <v>51</v>
      </c>
      <c r="E197" s="19" t="s">
        <v>658</v>
      </c>
      <c r="F197" s="22">
        <v>43025</v>
      </c>
      <c r="G197" s="11">
        <v>17</v>
      </c>
      <c r="H197" s="13">
        <f t="shared" si="85"/>
        <v>2741.9354838709678</v>
      </c>
      <c r="I197" s="13">
        <f t="shared" si="77"/>
        <v>0</v>
      </c>
      <c r="J197" s="13">
        <f t="shared" si="71"/>
        <v>137.09677419354838</v>
      </c>
      <c r="L197" s="13">
        <f t="shared" si="86"/>
        <v>438.70967741935482</v>
      </c>
      <c r="N197" s="13">
        <f t="shared" si="87"/>
        <v>2711.2258064516127</v>
      </c>
      <c r="O197" s="13">
        <v>0</v>
      </c>
      <c r="Q197" s="13">
        <f t="shared" si="78"/>
        <v>6028.967741935483</v>
      </c>
      <c r="R197" s="12">
        <f t="shared" si="72"/>
        <v>329.0322580645161</v>
      </c>
      <c r="S197" s="12">
        <f t="shared" si="73"/>
        <v>106</v>
      </c>
      <c r="T197" s="21">
        <f t="shared" si="83"/>
        <v>0</v>
      </c>
      <c r="U197" s="13">
        <v>0</v>
      </c>
      <c r="V197" s="13">
        <f t="shared" si="84"/>
        <v>435.0322580645161</v>
      </c>
      <c r="W197" s="13">
        <f t="shared" si="74"/>
        <v>5593.9354838709669</v>
      </c>
      <c r="Y197" s="13">
        <f t="shared" si="79"/>
        <v>5593.9354838709669</v>
      </c>
      <c r="Z197" s="12">
        <f t="shared" si="54"/>
        <v>360.56451612903226</v>
      </c>
      <c r="AA197" s="12">
        <f t="shared" si="75"/>
        <v>287</v>
      </c>
      <c r="AB197" s="1">
        <f t="shared" si="80"/>
        <v>0</v>
      </c>
      <c r="AC197" s="16">
        <f t="shared" si="82"/>
        <v>647.5645161290322</v>
      </c>
      <c r="AD197" s="16">
        <f t="shared" si="76"/>
        <v>6676.5322580645152</v>
      </c>
    </row>
    <row r="198" spans="1:30" x14ac:dyDescent="0.2">
      <c r="A198" s="10" t="s">
        <v>315</v>
      </c>
      <c r="B198" s="11">
        <f t="shared" si="81"/>
        <v>176</v>
      </c>
      <c r="C198" s="11" t="s">
        <v>1256</v>
      </c>
      <c r="D198" s="19" t="s">
        <v>51</v>
      </c>
      <c r="E198" s="19" t="s">
        <v>658</v>
      </c>
      <c r="F198" s="22">
        <v>43025</v>
      </c>
      <c r="G198" s="11">
        <v>16</v>
      </c>
      <c r="H198" s="13">
        <f t="shared" si="85"/>
        <v>2580.6451612903224</v>
      </c>
      <c r="I198" s="13">
        <f t="shared" si="77"/>
        <v>0</v>
      </c>
      <c r="J198" s="13">
        <f t="shared" ref="J198:J209" si="88">(H198+I198)*5%</f>
        <v>129.03225806451613</v>
      </c>
      <c r="L198" s="13">
        <f t="shared" si="86"/>
        <v>412.90322580645159</v>
      </c>
      <c r="N198" s="13">
        <f t="shared" si="87"/>
        <v>2551.7419354838707</v>
      </c>
      <c r="O198" s="13">
        <v>0</v>
      </c>
      <c r="Q198" s="13">
        <f t="shared" si="78"/>
        <v>5674.322580645161</v>
      </c>
      <c r="R198" s="12">
        <f t="shared" ref="R198:R261" si="89">(H198+I198)*12%</f>
        <v>309.67741935483866</v>
      </c>
      <c r="S198" s="12">
        <f t="shared" ref="S198:S210" si="90">ROUNDUP((Q198*1.75%),0)</f>
        <v>100</v>
      </c>
      <c r="T198" s="21">
        <f t="shared" si="83"/>
        <v>0</v>
      </c>
      <c r="U198" s="13">
        <v>0</v>
      </c>
      <c r="V198" s="13">
        <f t="shared" si="84"/>
        <v>409.67741935483866</v>
      </c>
      <c r="W198" s="13">
        <f t="shared" ref="W198:W261" si="91">Q198-V198</f>
        <v>5264.645161290322</v>
      </c>
      <c r="Y198" s="13">
        <f t="shared" si="79"/>
        <v>5264.645161290322</v>
      </c>
      <c r="Z198" s="12">
        <f t="shared" si="54"/>
        <v>339.35483870967744</v>
      </c>
      <c r="AA198" s="12">
        <f t="shared" ref="AA198:AA261" si="92">CEILING((Q198)*4.75%,1)</f>
        <v>270</v>
      </c>
      <c r="AB198" s="1">
        <f t="shared" si="80"/>
        <v>0</v>
      </c>
      <c r="AC198" s="16">
        <f t="shared" si="82"/>
        <v>609.35483870967744</v>
      </c>
      <c r="AD198" s="16">
        <f t="shared" ref="AD198:AD261" si="93">Q198+AC198</f>
        <v>6283.6774193548381</v>
      </c>
    </row>
    <row r="199" spans="1:30" x14ac:dyDescent="0.2">
      <c r="A199" s="10" t="s">
        <v>315</v>
      </c>
      <c r="B199" s="11">
        <f t="shared" si="81"/>
        <v>177</v>
      </c>
      <c r="C199" s="11" t="s">
        <v>1257</v>
      </c>
      <c r="D199" s="19" t="s">
        <v>51</v>
      </c>
      <c r="E199" s="19" t="s">
        <v>658</v>
      </c>
      <c r="F199" s="22">
        <v>43025</v>
      </c>
      <c r="G199" s="11">
        <v>14</v>
      </c>
      <c r="H199" s="13">
        <f t="shared" si="85"/>
        <v>2258.0645161290322</v>
      </c>
      <c r="I199" s="13">
        <f t="shared" ref="I199:I262" si="94">((0)/G$3)*G199</f>
        <v>0</v>
      </c>
      <c r="J199" s="13">
        <f t="shared" si="88"/>
        <v>112.90322580645162</v>
      </c>
      <c r="L199" s="13">
        <f t="shared" si="86"/>
        <v>361.29032258064512</v>
      </c>
      <c r="N199" s="13">
        <f>((1950+1000+0)/G$3)*G199</f>
        <v>1332.258064516129</v>
      </c>
      <c r="O199" s="13">
        <v>0</v>
      </c>
      <c r="Q199" s="13">
        <f t="shared" ref="Q199:Q255" si="95">SUM(H199:P199)</f>
        <v>4064.5161290322576</v>
      </c>
      <c r="R199" s="12">
        <f t="shared" si="89"/>
        <v>270.96774193548384</v>
      </c>
      <c r="S199" s="12">
        <f t="shared" si="90"/>
        <v>72</v>
      </c>
      <c r="T199" s="21">
        <f t="shared" si="83"/>
        <v>0</v>
      </c>
      <c r="U199" s="13">
        <v>0</v>
      </c>
      <c r="V199" s="13">
        <f t="shared" si="84"/>
        <v>342.96774193548384</v>
      </c>
      <c r="W199" s="13">
        <f t="shared" si="91"/>
        <v>3721.5483870967737</v>
      </c>
      <c r="Y199" s="13">
        <f t="shared" ref="Y199:Y262" si="96">W199-X199</f>
        <v>3721.5483870967737</v>
      </c>
      <c r="Z199" s="12">
        <f t="shared" si="54"/>
        <v>296.93548387096774</v>
      </c>
      <c r="AA199" s="12">
        <f t="shared" si="92"/>
        <v>194</v>
      </c>
      <c r="AB199" s="1">
        <f t="shared" ref="AB199:AB262" si="97">U199*3</f>
        <v>0</v>
      </c>
      <c r="AC199" s="16">
        <f t="shared" si="82"/>
        <v>490.93548387096774</v>
      </c>
      <c r="AD199" s="16">
        <f t="shared" si="93"/>
        <v>4555.4516129032254</v>
      </c>
    </row>
    <row r="200" spans="1:30" x14ac:dyDescent="0.2">
      <c r="A200" s="10" t="s">
        <v>315</v>
      </c>
      <c r="B200" s="11">
        <f t="shared" ref="B200:B263" si="98">B199+1</f>
        <v>178</v>
      </c>
      <c r="C200" s="11" t="s">
        <v>1143</v>
      </c>
      <c r="D200" s="19" t="s">
        <v>51</v>
      </c>
      <c r="E200" s="19" t="s">
        <v>1375</v>
      </c>
      <c r="F200" s="22">
        <v>43027</v>
      </c>
      <c r="G200" s="11">
        <v>15</v>
      </c>
      <c r="H200" s="13">
        <f t="shared" si="85"/>
        <v>2419.3548387096771</v>
      </c>
      <c r="I200" s="13">
        <f t="shared" si="94"/>
        <v>0</v>
      </c>
      <c r="J200" s="13">
        <f t="shared" si="88"/>
        <v>120.96774193548386</v>
      </c>
      <c r="L200" s="13">
        <f t="shared" si="86"/>
        <v>387.09677419354836</v>
      </c>
      <c r="N200" s="13">
        <f t="shared" si="87"/>
        <v>2392.2580645161288</v>
      </c>
      <c r="O200" s="13">
        <v>0</v>
      </c>
      <c r="Q200" s="13">
        <f t="shared" si="95"/>
        <v>5319.6774193548381</v>
      </c>
      <c r="R200" s="12">
        <f t="shared" si="89"/>
        <v>290.32258064516122</v>
      </c>
      <c r="S200" s="12">
        <f t="shared" si="90"/>
        <v>94</v>
      </c>
      <c r="T200" s="21">
        <f t="shared" si="83"/>
        <v>0</v>
      </c>
      <c r="U200" s="13">
        <v>0</v>
      </c>
      <c r="V200" s="13">
        <f t="shared" si="84"/>
        <v>384.32258064516122</v>
      </c>
      <c r="W200" s="13">
        <f t="shared" si="91"/>
        <v>4935.3548387096771</v>
      </c>
      <c r="Y200" s="13">
        <f t="shared" si="96"/>
        <v>4935.3548387096771</v>
      </c>
      <c r="Z200" s="12">
        <f t="shared" si="54"/>
        <v>318.14516129032256</v>
      </c>
      <c r="AA200" s="12">
        <f t="shared" si="92"/>
        <v>253</v>
      </c>
      <c r="AB200" s="1">
        <f t="shared" si="97"/>
        <v>0</v>
      </c>
      <c r="AC200" s="16">
        <f t="shared" si="82"/>
        <v>571.14516129032256</v>
      </c>
      <c r="AD200" s="16">
        <f t="shared" si="93"/>
        <v>5890.822580645161</v>
      </c>
    </row>
    <row r="201" spans="1:30" x14ac:dyDescent="0.2">
      <c r="A201" s="10" t="s">
        <v>315</v>
      </c>
      <c r="B201" s="11">
        <f t="shared" si="98"/>
        <v>179</v>
      </c>
      <c r="C201" s="11" t="s">
        <v>1258</v>
      </c>
      <c r="D201" s="19" t="s">
        <v>51</v>
      </c>
      <c r="E201" s="19" t="s">
        <v>658</v>
      </c>
      <c r="F201" s="22">
        <v>43028</v>
      </c>
      <c r="G201" s="11">
        <v>3</v>
      </c>
      <c r="H201" s="13">
        <f t="shared" si="85"/>
        <v>483.87096774193549</v>
      </c>
      <c r="I201" s="13">
        <f t="shared" si="94"/>
        <v>0</v>
      </c>
      <c r="J201" s="13">
        <f t="shared" si="88"/>
        <v>24.193548387096776</v>
      </c>
      <c r="L201" s="13">
        <f t="shared" si="86"/>
        <v>77.419354838709666</v>
      </c>
      <c r="N201" s="13">
        <f t="shared" si="87"/>
        <v>478.45161290322574</v>
      </c>
      <c r="O201" s="13">
        <v>0</v>
      </c>
      <c r="Q201" s="13">
        <f t="shared" si="95"/>
        <v>1063.9354838709678</v>
      </c>
      <c r="R201" s="12">
        <f t="shared" si="89"/>
        <v>58.064516129032256</v>
      </c>
      <c r="S201" s="12">
        <f t="shared" si="90"/>
        <v>19</v>
      </c>
      <c r="T201" s="21">
        <f t="shared" si="83"/>
        <v>0</v>
      </c>
      <c r="U201" s="13">
        <v>0</v>
      </c>
      <c r="V201" s="13">
        <f t="shared" si="84"/>
        <v>77.064516129032256</v>
      </c>
      <c r="W201" s="13">
        <f t="shared" si="91"/>
        <v>986.8709677419356</v>
      </c>
      <c r="Y201" s="13">
        <f t="shared" si="96"/>
        <v>986.8709677419356</v>
      </c>
      <c r="Z201" s="12">
        <f t="shared" si="54"/>
        <v>63.62903225806452</v>
      </c>
      <c r="AA201" s="12">
        <f t="shared" si="92"/>
        <v>51</v>
      </c>
      <c r="AB201" s="1">
        <f t="shared" si="97"/>
        <v>0</v>
      </c>
      <c r="AC201" s="16">
        <f t="shared" si="82"/>
        <v>114.62903225806451</v>
      </c>
      <c r="AD201" s="16">
        <f t="shared" si="93"/>
        <v>1178.5645161290322</v>
      </c>
    </row>
    <row r="202" spans="1:30" x14ac:dyDescent="0.2">
      <c r="A202" s="10" t="s">
        <v>315</v>
      </c>
      <c r="B202" s="11">
        <f t="shared" si="98"/>
        <v>180</v>
      </c>
      <c r="C202" s="11" t="s">
        <v>1259</v>
      </c>
      <c r="D202" s="19" t="s">
        <v>51</v>
      </c>
      <c r="E202" s="19" t="s">
        <v>658</v>
      </c>
      <c r="F202" s="22">
        <v>43029</v>
      </c>
      <c r="G202" s="11">
        <v>1</v>
      </c>
      <c r="H202" s="13">
        <f t="shared" si="85"/>
        <v>161.29032258064515</v>
      </c>
      <c r="I202" s="13">
        <f t="shared" si="94"/>
        <v>0</v>
      </c>
      <c r="J202" s="13">
        <f t="shared" si="88"/>
        <v>8.064516129032258</v>
      </c>
      <c r="L202" s="13">
        <f t="shared" si="86"/>
        <v>25.806451612903224</v>
      </c>
      <c r="N202" s="13">
        <f t="shared" si="87"/>
        <v>159.48387096774192</v>
      </c>
      <c r="O202" s="13">
        <v>0</v>
      </c>
      <c r="Q202" s="13">
        <f t="shared" si="95"/>
        <v>354.64516129032256</v>
      </c>
      <c r="R202" s="12">
        <f t="shared" si="89"/>
        <v>19.354838709677416</v>
      </c>
      <c r="S202" s="12">
        <f t="shared" si="90"/>
        <v>7</v>
      </c>
      <c r="T202" s="21">
        <f t="shared" si="83"/>
        <v>0</v>
      </c>
      <c r="U202" s="13">
        <v>0</v>
      </c>
      <c r="V202" s="13">
        <f t="shared" si="84"/>
        <v>26.354838709677416</v>
      </c>
      <c r="W202" s="13">
        <f t="shared" si="91"/>
        <v>328.29032258064512</v>
      </c>
      <c r="Y202" s="13">
        <f t="shared" si="96"/>
        <v>328.29032258064512</v>
      </c>
      <c r="Z202" s="12">
        <f t="shared" si="54"/>
        <v>21.20967741935484</v>
      </c>
      <c r="AA202" s="12">
        <f t="shared" si="92"/>
        <v>17</v>
      </c>
      <c r="AB202" s="1">
        <f t="shared" si="97"/>
        <v>0</v>
      </c>
      <c r="AC202" s="16">
        <f t="shared" si="82"/>
        <v>38.20967741935484</v>
      </c>
      <c r="AD202" s="16">
        <f t="shared" si="93"/>
        <v>392.85483870967738</v>
      </c>
    </row>
    <row r="203" spans="1:30" x14ac:dyDescent="0.2">
      <c r="A203" s="10" t="s">
        <v>315</v>
      </c>
      <c r="B203" s="11">
        <f t="shared" si="98"/>
        <v>181</v>
      </c>
      <c r="C203" s="11" t="s">
        <v>1260</v>
      </c>
      <c r="D203" s="19" t="s">
        <v>51</v>
      </c>
      <c r="E203" s="19" t="s">
        <v>658</v>
      </c>
      <c r="F203" s="22">
        <v>43031</v>
      </c>
      <c r="G203" s="11">
        <v>9</v>
      </c>
      <c r="H203" s="13">
        <f t="shared" si="85"/>
        <v>1451.6129032258063</v>
      </c>
      <c r="I203" s="13">
        <f t="shared" si="94"/>
        <v>0</v>
      </c>
      <c r="J203" s="13">
        <f t="shared" si="88"/>
        <v>72.58064516129032</v>
      </c>
      <c r="L203" s="13">
        <f t="shared" si="86"/>
        <v>232.25806451612902</v>
      </c>
      <c r="N203" s="13">
        <f t="shared" si="87"/>
        <v>1435.3548387096773</v>
      </c>
      <c r="O203" s="13">
        <v>0</v>
      </c>
      <c r="Q203" s="13">
        <f t="shared" si="95"/>
        <v>3191.8064516129029</v>
      </c>
      <c r="R203" s="12">
        <f t="shared" si="89"/>
        <v>174.19354838709677</v>
      </c>
      <c r="S203" s="12">
        <f t="shared" si="90"/>
        <v>56</v>
      </c>
      <c r="T203" s="21">
        <f t="shared" si="83"/>
        <v>0</v>
      </c>
      <c r="U203" s="13">
        <v>0</v>
      </c>
      <c r="V203" s="13">
        <f t="shared" si="84"/>
        <v>230.19354838709677</v>
      </c>
      <c r="W203" s="13">
        <f t="shared" si="91"/>
        <v>2961.6129032258063</v>
      </c>
      <c r="Y203" s="13">
        <f t="shared" si="96"/>
        <v>2961.6129032258063</v>
      </c>
      <c r="Z203" s="12">
        <f t="shared" si="54"/>
        <v>190.88709677419354</v>
      </c>
      <c r="AA203" s="12">
        <f t="shared" si="92"/>
        <v>152</v>
      </c>
      <c r="AB203" s="1">
        <f t="shared" si="97"/>
        <v>0</v>
      </c>
      <c r="AC203" s="16">
        <f t="shared" si="82"/>
        <v>342.88709677419354</v>
      </c>
      <c r="AD203" s="16">
        <f t="shared" si="93"/>
        <v>3534.6935483870966</v>
      </c>
    </row>
    <row r="204" spans="1:30" x14ac:dyDescent="0.2">
      <c r="A204" s="10" t="s">
        <v>315</v>
      </c>
      <c r="B204" s="11">
        <f t="shared" si="98"/>
        <v>182</v>
      </c>
      <c r="C204" s="11" t="s">
        <v>1261</v>
      </c>
      <c r="D204" s="19" t="s">
        <v>51</v>
      </c>
      <c r="E204" s="19" t="s">
        <v>236</v>
      </c>
      <c r="F204" s="22">
        <v>43035</v>
      </c>
      <c r="G204" s="11">
        <v>4</v>
      </c>
      <c r="H204" s="13">
        <f t="shared" si="85"/>
        <v>645.16129032258061</v>
      </c>
      <c r="I204" s="13">
        <f t="shared" si="94"/>
        <v>0</v>
      </c>
      <c r="J204" s="13">
        <f t="shared" si="88"/>
        <v>32.258064516129032</v>
      </c>
      <c r="L204" s="13">
        <f t="shared" si="86"/>
        <v>103.2258064516129</v>
      </c>
      <c r="N204" s="13">
        <f>((1950+1000+0)/G$3)*G204</f>
        <v>380.64516129032256</v>
      </c>
      <c r="O204" s="13">
        <v>0</v>
      </c>
      <c r="Q204" s="13">
        <f t="shared" si="95"/>
        <v>1161.2903225806451</v>
      </c>
      <c r="R204" s="12">
        <f t="shared" si="89"/>
        <v>77.419354838709666</v>
      </c>
      <c r="S204" s="12">
        <f t="shared" si="90"/>
        <v>21</v>
      </c>
      <c r="T204" s="21">
        <f t="shared" si="83"/>
        <v>0</v>
      </c>
      <c r="U204" s="13">
        <v>0</v>
      </c>
      <c r="V204" s="13">
        <f t="shared" si="84"/>
        <v>98.419354838709666</v>
      </c>
      <c r="W204" s="13">
        <f t="shared" si="91"/>
        <v>1062.8709677419354</v>
      </c>
      <c r="Y204" s="13">
        <f t="shared" si="96"/>
        <v>1062.8709677419354</v>
      </c>
      <c r="Z204" s="12">
        <f t="shared" si="54"/>
        <v>84.838709677419359</v>
      </c>
      <c r="AA204" s="12">
        <f t="shared" si="92"/>
        <v>56</v>
      </c>
      <c r="AB204" s="1">
        <f t="shared" si="97"/>
        <v>0</v>
      </c>
      <c r="AC204" s="16">
        <f t="shared" si="82"/>
        <v>140.83870967741936</v>
      </c>
      <c r="AD204" s="16">
        <f t="shared" si="93"/>
        <v>1302.1290322580644</v>
      </c>
    </row>
    <row r="205" spans="1:30" x14ac:dyDescent="0.2">
      <c r="A205" s="10" t="s">
        <v>315</v>
      </c>
      <c r="B205" s="11">
        <f t="shared" si="98"/>
        <v>183</v>
      </c>
      <c r="C205" s="11" t="s">
        <v>1262</v>
      </c>
      <c r="D205" s="19" t="s">
        <v>51</v>
      </c>
      <c r="E205" s="19" t="s">
        <v>658</v>
      </c>
      <c r="F205" s="22">
        <v>43035</v>
      </c>
      <c r="G205" s="11">
        <v>4</v>
      </c>
      <c r="H205" s="13">
        <f t="shared" si="85"/>
        <v>645.16129032258061</v>
      </c>
      <c r="I205" s="13">
        <f t="shared" si="94"/>
        <v>0</v>
      </c>
      <c r="J205" s="13">
        <f t="shared" si="88"/>
        <v>32.258064516129032</v>
      </c>
      <c r="L205" s="13">
        <f t="shared" si="86"/>
        <v>103.2258064516129</v>
      </c>
      <c r="N205" s="13">
        <f t="shared" si="87"/>
        <v>637.93548387096769</v>
      </c>
      <c r="O205" s="13">
        <v>0</v>
      </c>
      <c r="Q205" s="13">
        <f t="shared" si="95"/>
        <v>1418.5806451612902</v>
      </c>
      <c r="R205" s="12">
        <f t="shared" si="89"/>
        <v>77.419354838709666</v>
      </c>
      <c r="S205" s="12">
        <f t="shared" si="90"/>
        <v>25</v>
      </c>
      <c r="T205" s="21">
        <f t="shared" si="83"/>
        <v>0</v>
      </c>
      <c r="U205" s="13">
        <v>0</v>
      </c>
      <c r="V205" s="13">
        <f t="shared" si="84"/>
        <v>102.41935483870967</v>
      </c>
      <c r="W205" s="13">
        <f t="shared" si="91"/>
        <v>1316.1612903225805</v>
      </c>
      <c r="Y205" s="13">
        <f t="shared" si="96"/>
        <v>1316.1612903225805</v>
      </c>
      <c r="Z205" s="12">
        <f t="shared" si="54"/>
        <v>84.838709677419359</v>
      </c>
      <c r="AA205" s="12">
        <f t="shared" si="92"/>
        <v>68</v>
      </c>
      <c r="AB205" s="1">
        <f t="shared" si="97"/>
        <v>0</v>
      </c>
      <c r="AC205" s="16">
        <f t="shared" si="82"/>
        <v>152.83870967741936</v>
      </c>
      <c r="AD205" s="16">
        <f t="shared" si="93"/>
        <v>1571.4193548387095</v>
      </c>
    </row>
    <row r="206" spans="1:30" x14ac:dyDescent="0.2">
      <c r="A206" s="10" t="s">
        <v>315</v>
      </c>
      <c r="B206" s="11">
        <f t="shared" si="98"/>
        <v>184</v>
      </c>
      <c r="C206" s="11" t="s">
        <v>1263</v>
      </c>
      <c r="D206" s="19" t="s">
        <v>51</v>
      </c>
      <c r="E206" s="19" t="s">
        <v>663</v>
      </c>
      <c r="F206" s="22">
        <v>43036</v>
      </c>
      <c r="G206" s="11">
        <v>4</v>
      </c>
      <c r="H206" s="13">
        <f t="shared" si="85"/>
        <v>645.16129032258061</v>
      </c>
      <c r="I206" s="13">
        <f t="shared" si="94"/>
        <v>0</v>
      </c>
      <c r="J206" s="13">
        <f t="shared" si="88"/>
        <v>32.258064516129032</v>
      </c>
      <c r="L206" s="13">
        <f t="shared" si="86"/>
        <v>103.2258064516129</v>
      </c>
      <c r="N206" s="13">
        <f t="shared" si="87"/>
        <v>637.93548387096769</v>
      </c>
      <c r="O206" s="13">
        <v>0</v>
      </c>
      <c r="Q206" s="13">
        <f t="shared" si="95"/>
        <v>1418.5806451612902</v>
      </c>
      <c r="R206" s="12">
        <f t="shared" si="89"/>
        <v>77.419354838709666</v>
      </c>
      <c r="S206" s="12">
        <f t="shared" si="90"/>
        <v>25</v>
      </c>
      <c r="T206" s="21">
        <f t="shared" si="83"/>
        <v>0</v>
      </c>
      <c r="U206" s="13">
        <v>0</v>
      </c>
      <c r="V206" s="13">
        <f t="shared" si="84"/>
        <v>102.41935483870967</v>
      </c>
      <c r="W206" s="13">
        <f t="shared" si="91"/>
        <v>1316.1612903225805</v>
      </c>
      <c r="Y206" s="13">
        <f t="shared" si="96"/>
        <v>1316.1612903225805</v>
      </c>
      <c r="Z206" s="12">
        <f t="shared" si="54"/>
        <v>84.838709677419359</v>
      </c>
      <c r="AA206" s="12">
        <f t="shared" si="92"/>
        <v>68</v>
      </c>
      <c r="AB206" s="1">
        <f t="shared" si="97"/>
        <v>0</v>
      </c>
      <c r="AC206" s="16">
        <f t="shared" si="82"/>
        <v>152.83870967741936</v>
      </c>
      <c r="AD206" s="16">
        <f t="shared" si="93"/>
        <v>1571.4193548387095</v>
      </c>
    </row>
    <row r="207" spans="1:30" x14ac:dyDescent="0.2">
      <c r="A207" s="10" t="s">
        <v>315</v>
      </c>
      <c r="B207" s="11">
        <f t="shared" si="98"/>
        <v>185</v>
      </c>
      <c r="C207" s="11" t="s">
        <v>1264</v>
      </c>
      <c r="D207" s="19" t="s">
        <v>51</v>
      </c>
      <c r="E207" s="19" t="s">
        <v>658</v>
      </c>
      <c r="F207" s="22">
        <v>43036</v>
      </c>
      <c r="G207" s="11">
        <v>3</v>
      </c>
      <c r="H207" s="13">
        <f t="shared" si="85"/>
        <v>483.87096774193549</v>
      </c>
      <c r="I207" s="13">
        <f t="shared" si="94"/>
        <v>0</v>
      </c>
      <c r="J207" s="13">
        <f t="shared" si="88"/>
        <v>24.193548387096776</v>
      </c>
      <c r="L207" s="13">
        <f t="shared" si="86"/>
        <v>77.419354838709666</v>
      </c>
      <c r="N207" s="13">
        <f t="shared" si="87"/>
        <v>478.45161290322574</v>
      </c>
      <c r="O207" s="13">
        <v>0</v>
      </c>
      <c r="Q207" s="13">
        <f t="shared" si="95"/>
        <v>1063.9354838709678</v>
      </c>
      <c r="R207" s="12">
        <f t="shared" si="89"/>
        <v>58.064516129032256</v>
      </c>
      <c r="S207" s="12">
        <f t="shared" si="90"/>
        <v>19</v>
      </c>
      <c r="T207" s="21">
        <f t="shared" si="83"/>
        <v>0</v>
      </c>
      <c r="U207" s="13">
        <v>0</v>
      </c>
      <c r="V207" s="13">
        <f t="shared" si="84"/>
        <v>77.064516129032256</v>
      </c>
      <c r="W207" s="13">
        <f t="shared" si="91"/>
        <v>986.8709677419356</v>
      </c>
      <c r="Y207" s="13">
        <f t="shared" si="96"/>
        <v>986.8709677419356</v>
      </c>
      <c r="Z207" s="12">
        <f t="shared" si="54"/>
        <v>63.62903225806452</v>
      </c>
      <c r="AA207" s="12">
        <f t="shared" si="92"/>
        <v>51</v>
      </c>
      <c r="AB207" s="1">
        <f t="shared" si="97"/>
        <v>0</v>
      </c>
      <c r="AC207" s="16">
        <f t="shared" si="82"/>
        <v>114.62903225806451</v>
      </c>
      <c r="AD207" s="16">
        <f t="shared" si="93"/>
        <v>1178.5645161290322</v>
      </c>
    </row>
    <row r="208" spans="1:30" x14ac:dyDescent="0.2">
      <c r="A208" s="10" t="s">
        <v>315</v>
      </c>
      <c r="B208" s="11">
        <f t="shared" si="98"/>
        <v>186</v>
      </c>
      <c r="C208" s="32" t="s">
        <v>1265</v>
      </c>
      <c r="D208" s="19" t="s">
        <v>51</v>
      </c>
      <c r="E208" s="19" t="s">
        <v>1162</v>
      </c>
      <c r="F208" s="22">
        <v>43037</v>
      </c>
      <c r="G208" s="11">
        <v>1</v>
      </c>
      <c r="H208" s="13">
        <f t="shared" si="85"/>
        <v>161.29032258064515</v>
      </c>
      <c r="I208" s="13">
        <f t="shared" si="94"/>
        <v>0</v>
      </c>
      <c r="J208" s="13">
        <f t="shared" si="88"/>
        <v>8.064516129032258</v>
      </c>
      <c r="L208" s="13">
        <f t="shared" si="86"/>
        <v>25.806451612903224</v>
      </c>
      <c r="N208" s="13">
        <f t="shared" si="87"/>
        <v>159.48387096774192</v>
      </c>
      <c r="O208" s="13">
        <v>0</v>
      </c>
      <c r="Q208" s="13">
        <f t="shared" si="95"/>
        <v>354.64516129032256</v>
      </c>
      <c r="R208" s="12">
        <f t="shared" si="89"/>
        <v>19.354838709677416</v>
      </c>
      <c r="S208" s="12">
        <f t="shared" si="90"/>
        <v>7</v>
      </c>
      <c r="T208" s="21">
        <f t="shared" si="83"/>
        <v>0</v>
      </c>
      <c r="U208" s="13">
        <v>0</v>
      </c>
      <c r="V208" s="13">
        <f t="shared" si="84"/>
        <v>26.354838709677416</v>
      </c>
      <c r="W208" s="13">
        <f t="shared" si="91"/>
        <v>328.29032258064512</v>
      </c>
      <c r="Y208" s="13">
        <f t="shared" si="96"/>
        <v>328.29032258064512</v>
      </c>
      <c r="Z208" s="12">
        <f t="shared" si="54"/>
        <v>21.20967741935484</v>
      </c>
      <c r="AA208" s="12">
        <f t="shared" si="92"/>
        <v>17</v>
      </c>
      <c r="AB208" s="1">
        <f t="shared" si="97"/>
        <v>0</v>
      </c>
      <c r="AC208" s="16">
        <f t="shared" si="82"/>
        <v>38.20967741935484</v>
      </c>
      <c r="AD208" s="16">
        <f t="shared" si="93"/>
        <v>392.85483870967738</v>
      </c>
    </row>
    <row r="209" spans="1:30" x14ac:dyDescent="0.2">
      <c r="A209" s="10" t="s">
        <v>315</v>
      </c>
      <c r="B209" s="11">
        <f t="shared" si="98"/>
        <v>187</v>
      </c>
      <c r="C209" s="11" t="s">
        <v>1266</v>
      </c>
      <c r="D209" s="19" t="s">
        <v>51</v>
      </c>
      <c r="E209" s="19" t="s">
        <v>236</v>
      </c>
      <c r="F209" s="22">
        <v>43038</v>
      </c>
      <c r="G209" s="11">
        <v>2</v>
      </c>
      <c r="H209" s="13">
        <f t="shared" si="85"/>
        <v>322.58064516129031</v>
      </c>
      <c r="I209" s="13">
        <f t="shared" si="94"/>
        <v>0</v>
      </c>
      <c r="J209" s="13">
        <f t="shared" si="88"/>
        <v>16.129032258064516</v>
      </c>
      <c r="L209" s="13">
        <f t="shared" si="86"/>
        <v>51.612903225806448</v>
      </c>
      <c r="N209" s="13">
        <f>((1950+1000+0)/G$3)*G209</f>
        <v>190.32258064516128</v>
      </c>
      <c r="O209" s="13">
        <v>0</v>
      </c>
      <c r="Q209" s="13">
        <f t="shared" si="95"/>
        <v>580.64516129032256</v>
      </c>
      <c r="R209" s="12">
        <f t="shared" si="89"/>
        <v>38.709677419354833</v>
      </c>
      <c r="S209" s="12">
        <f t="shared" si="90"/>
        <v>11</v>
      </c>
      <c r="T209" s="21">
        <f t="shared" si="83"/>
        <v>0</v>
      </c>
      <c r="U209" s="13">
        <v>0</v>
      </c>
      <c r="V209" s="13">
        <f t="shared" si="84"/>
        <v>49.709677419354833</v>
      </c>
      <c r="W209" s="13">
        <f t="shared" si="91"/>
        <v>530.93548387096769</v>
      </c>
      <c r="Y209" s="13">
        <f t="shared" si="96"/>
        <v>530.93548387096769</v>
      </c>
      <c r="Z209" s="12">
        <f t="shared" si="54"/>
        <v>42.41935483870968</v>
      </c>
      <c r="AA209" s="12">
        <f t="shared" si="92"/>
        <v>28</v>
      </c>
      <c r="AB209" s="1">
        <f t="shared" si="97"/>
        <v>0</v>
      </c>
      <c r="AC209" s="16">
        <f t="shared" si="82"/>
        <v>70.41935483870968</v>
      </c>
      <c r="AD209" s="16">
        <f t="shared" si="93"/>
        <v>651.0645161290322</v>
      </c>
    </row>
    <row r="210" spans="1:30" x14ac:dyDescent="0.2">
      <c r="A210" s="10" t="s">
        <v>32</v>
      </c>
      <c r="B210" s="11">
        <f>B122+1</f>
        <v>101</v>
      </c>
      <c r="C210" s="11" t="s">
        <v>30</v>
      </c>
      <c r="D210" s="19" t="s">
        <v>50</v>
      </c>
      <c r="E210" s="19" t="s">
        <v>237</v>
      </c>
      <c r="F210" s="20">
        <v>42161</v>
      </c>
      <c r="G210" s="11">
        <v>16</v>
      </c>
      <c r="H210" s="13">
        <f t="shared" si="85"/>
        <v>2580.6451612903224</v>
      </c>
      <c r="I210" s="13">
        <f t="shared" si="94"/>
        <v>0</v>
      </c>
      <c r="J210" s="13">
        <f>(H210+I210)*5%</f>
        <v>129.03225806451613</v>
      </c>
      <c r="L210" s="13">
        <f>((800+800)/G$3)*G210</f>
        <v>825.80645161290317</v>
      </c>
      <c r="N210" s="13">
        <f>((3391+2279+2341)/G$3)*G210</f>
        <v>4134.7096774193551</v>
      </c>
      <c r="O210" s="13">
        <v>0</v>
      </c>
      <c r="Q210" s="13">
        <f t="shared" si="95"/>
        <v>7670.1935483870966</v>
      </c>
      <c r="R210" s="12">
        <f t="shared" si="89"/>
        <v>309.67741935483866</v>
      </c>
      <c r="S210" s="12">
        <f t="shared" si="90"/>
        <v>135</v>
      </c>
      <c r="T210" s="21">
        <v>0</v>
      </c>
      <c r="U210" s="13">
        <v>0</v>
      </c>
      <c r="V210" s="13">
        <f t="shared" ref="V210" si="99">SUM(R210:U210)</f>
        <v>444.67741935483866</v>
      </c>
      <c r="W210" s="13">
        <f t="shared" si="91"/>
        <v>7225.5161290322576</v>
      </c>
      <c r="Y210" s="13">
        <f t="shared" si="96"/>
        <v>7225.5161290322576</v>
      </c>
      <c r="Z210" s="12">
        <f t="shared" si="54"/>
        <v>339.35483870967744</v>
      </c>
      <c r="AA210" s="12">
        <f t="shared" si="92"/>
        <v>365</v>
      </c>
      <c r="AB210" s="1">
        <f t="shared" si="97"/>
        <v>0</v>
      </c>
      <c r="AC210" s="16">
        <f t="shared" si="82"/>
        <v>704.35483870967744</v>
      </c>
      <c r="AD210" s="16">
        <f t="shared" si="93"/>
        <v>8374.5483870967746</v>
      </c>
    </row>
    <row r="211" spans="1:30" x14ac:dyDescent="0.2">
      <c r="A211" s="10" t="s">
        <v>37</v>
      </c>
      <c r="B211" s="11">
        <f t="shared" si="98"/>
        <v>102</v>
      </c>
      <c r="C211" s="11" t="s">
        <v>33</v>
      </c>
      <c r="D211" s="19" t="s">
        <v>50</v>
      </c>
      <c r="E211" s="19" t="s">
        <v>235</v>
      </c>
      <c r="F211" s="20">
        <v>42195</v>
      </c>
      <c r="G211" s="11">
        <v>36</v>
      </c>
      <c r="H211" s="13">
        <f t="shared" si="85"/>
        <v>5806.4516129032254</v>
      </c>
      <c r="I211" s="13">
        <f t="shared" si="94"/>
        <v>0</v>
      </c>
      <c r="J211" s="13">
        <f t="shared" ref="J211:J274" si="100">(H211+I211)*5%</f>
        <v>290.32258064516128</v>
      </c>
      <c r="L211" s="13">
        <f>((800)/G$3)*G211</f>
        <v>929.0322580645161</v>
      </c>
      <c r="N211" s="13">
        <f>((1950+2484+509+1883)/G$3)*G211</f>
        <v>7926.9677419354839</v>
      </c>
      <c r="O211" s="13">
        <v>0</v>
      </c>
      <c r="Q211" s="13">
        <f t="shared" si="95"/>
        <v>14952.774193548386</v>
      </c>
      <c r="R211" s="12">
        <f t="shared" si="89"/>
        <v>696.77419354838707</v>
      </c>
      <c r="S211" s="12">
        <f>ROUNDUP(((Q211-O211)*1.75%),0)</f>
        <v>262</v>
      </c>
      <c r="T211" s="21">
        <v>0</v>
      </c>
      <c r="U211" s="13">
        <v>0</v>
      </c>
      <c r="V211" s="13">
        <f t="shared" ref="V211:V215" si="101">SUM(R211:U211)</f>
        <v>958.77419354838707</v>
      </c>
      <c r="W211" s="13">
        <f t="shared" si="91"/>
        <v>13994</v>
      </c>
      <c r="Y211" s="13">
        <f t="shared" si="96"/>
        <v>13994</v>
      </c>
      <c r="Z211" s="12">
        <f t="shared" si="54"/>
        <v>763.54838709677415</v>
      </c>
      <c r="AA211" s="12">
        <f t="shared" si="92"/>
        <v>711</v>
      </c>
      <c r="AB211" s="1">
        <f t="shared" si="97"/>
        <v>0</v>
      </c>
      <c r="AC211" s="16">
        <f t="shared" ref="AC211:AC215" si="102">SUM(Z211:AB211)</f>
        <v>1474.5483870967741</v>
      </c>
      <c r="AD211" s="16">
        <f t="shared" si="93"/>
        <v>16427.322580645159</v>
      </c>
    </row>
    <row r="212" spans="1:30" x14ac:dyDescent="0.2">
      <c r="A212" s="10" t="s">
        <v>38</v>
      </c>
      <c r="B212" s="11">
        <f t="shared" si="98"/>
        <v>103</v>
      </c>
      <c r="C212" s="11" t="s">
        <v>34</v>
      </c>
      <c r="D212" s="19" t="s">
        <v>50</v>
      </c>
      <c r="E212" s="19" t="s">
        <v>232</v>
      </c>
      <c r="F212" s="20">
        <v>42205</v>
      </c>
      <c r="G212" s="11">
        <v>32</v>
      </c>
      <c r="H212" s="13">
        <f t="shared" si="85"/>
        <v>5161.2903225806449</v>
      </c>
      <c r="I212" s="13">
        <f t="shared" si="94"/>
        <v>0</v>
      </c>
      <c r="J212" s="13">
        <f t="shared" si="100"/>
        <v>258.06451612903226</v>
      </c>
      <c r="L212" s="13">
        <f>((800+800)/G$3)*G212</f>
        <v>1651.6129032258063</v>
      </c>
      <c r="N212" s="13">
        <f>((1950+2484+5816+2890)/G$3)*G212</f>
        <v>13563.870967741936</v>
      </c>
      <c r="O212" s="13">
        <v>0</v>
      </c>
      <c r="Q212" s="13">
        <f t="shared" si="95"/>
        <v>20634.838709677417</v>
      </c>
      <c r="R212" s="12">
        <f t="shared" si="89"/>
        <v>619.35483870967732</v>
      </c>
      <c r="S212" s="12">
        <f t="shared" ref="S212:S397" si="103">ROUNDUP((Q212*1.75%),0)</f>
        <v>362</v>
      </c>
      <c r="T212" s="21">
        <v>0</v>
      </c>
      <c r="U212" s="13">
        <v>0</v>
      </c>
      <c r="V212" s="13">
        <f t="shared" si="101"/>
        <v>981.35483870967732</v>
      </c>
      <c r="W212" s="13">
        <f t="shared" si="91"/>
        <v>19653.483870967739</v>
      </c>
      <c r="Y212" s="13">
        <f t="shared" si="96"/>
        <v>19653.483870967739</v>
      </c>
      <c r="Z212" s="12">
        <f t="shared" si="54"/>
        <v>678.70967741935488</v>
      </c>
      <c r="AA212" s="12">
        <f t="shared" si="92"/>
        <v>981</v>
      </c>
      <c r="AB212" s="1">
        <f t="shared" si="97"/>
        <v>0</v>
      </c>
      <c r="AC212" s="16">
        <f t="shared" si="102"/>
        <v>1659.7096774193549</v>
      </c>
      <c r="AD212" s="16">
        <f t="shared" si="93"/>
        <v>22294.548387096773</v>
      </c>
    </row>
    <row r="213" spans="1:30" x14ac:dyDescent="0.2">
      <c r="A213" s="10" t="s">
        <v>41</v>
      </c>
      <c r="B213" s="11">
        <f t="shared" si="98"/>
        <v>104</v>
      </c>
      <c r="C213" s="11" t="s">
        <v>39</v>
      </c>
      <c r="D213" s="19" t="s">
        <v>50</v>
      </c>
      <c r="E213" s="19" t="s">
        <v>234</v>
      </c>
      <c r="F213" s="20">
        <v>42261</v>
      </c>
      <c r="G213" s="11">
        <v>36</v>
      </c>
      <c r="H213" s="13">
        <f t="shared" si="85"/>
        <v>5806.4516129032254</v>
      </c>
      <c r="I213" s="13">
        <f t="shared" si="94"/>
        <v>0</v>
      </c>
      <c r="J213" s="13">
        <f t="shared" si="100"/>
        <v>290.32258064516128</v>
      </c>
      <c r="L213" s="13">
        <f t="shared" ref="L213:L276" si="104">((800)/G$3)*G213</f>
        <v>929.0322580645161</v>
      </c>
      <c r="N213" s="13">
        <f>((1950+2484+1016+0)/G$3)*G213</f>
        <v>6329.0322580645161</v>
      </c>
      <c r="O213" s="13">
        <v>0</v>
      </c>
      <c r="Q213" s="13">
        <f t="shared" si="95"/>
        <v>13354.838709677419</v>
      </c>
      <c r="R213" s="12">
        <f t="shared" si="89"/>
        <v>696.77419354838707</v>
      </c>
      <c r="S213" s="12">
        <f t="shared" si="103"/>
        <v>234</v>
      </c>
      <c r="T213" s="21">
        <v>0</v>
      </c>
      <c r="U213" s="13">
        <v>0</v>
      </c>
      <c r="V213" s="13">
        <f t="shared" si="101"/>
        <v>930.77419354838707</v>
      </c>
      <c r="W213" s="13">
        <f t="shared" si="91"/>
        <v>12424.064516129032</v>
      </c>
      <c r="Y213" s="13">
        <f t="shared" si="96"/>
        <v>12424.064516129032</v>
      </c>
      <c r="Z213" s="12">
        <f t="shared" si="54"/>
        <v>763.54838709677415</v>
      </c>
      <c r="AA213" s="12">
        <f t="shared" si="92"/>
        <v>635</v>
      </c>
      <c r="AB213" s="1">
        <f t="shared" si="97"/>
        <v>0</v>
      </c>
      <c r="AC213" s="16">
        <f t="shared" si="102"/>
        <v>1398.5483870967741</v>
      </c>
      <c r="AD213" s="16">
        <f t="shared" si="93"/>
        <v>14753.387096774193</v>
      </c>
    </row>
    <row r="214" spans="1:30" x14ac:dyDescent="0.2">
      <c r="A214" s="10" t="s">
        <v>43</v>
      </c>
      <c r="B214" s="11">
        <f t="shared" si="98"/>
        <v>105</v>
      </c>
      <c r="C214" s="11" t="s">
        <v>489</v>
      </c>
      <c r="D214" s="19" t="s">
        <v>50</v>
      </c>
      <c r="E214" s="19" t="s">
        <v>237</v>
      </c>
      <c r="F214" s="20">
        <v>42278</v>
      </c>
      <c r="G214" s="11">
        <v>31</v>
      </c>
      <c r="H214" s="13">
        <f t="shared" si="85"/>
        <v>5000</v>
      </c>
      <c r="I214" s="13">
        <f t="shared" si="94"/>
        <v>0</v>
      </c>
      <c r="J214" s="13">
        <f t="shared" si="100"/>
        <v>250</v>
      </c>
      <c r="L214" s="13">
        <f t="shared" si="104"/>
        <v>800</v>
      </c>
      <c r="N214" s="13">
        <f>((1950+2484+509+1069+1984+0)/G$3)*G214</f>
        <v>7996</v>
      </c>
      <c r="O214" s="13">
        <v>0</v>
      </c>
      <c r="Q214" s="13">
        <f t="shared" si="95"/>
        <v>14046</v>
      </c>
      <c r="R214" s="12">
        <f t="shared" si="89"/>
        <v>600</v>
      </c>
      <c r="S214" s="12">
        <f t="shared" si="103"/>
        <v>246</v>
      </c>
      <c r="T214" s="21">
        <v>0</v>
      </c>
      <c r="U214" s="13">
        <v>0</v>
      </c>
      <c r="V214" s="13">
        <f t="shared" si="101"/>
        <v>846</v>
      </c>
      <c r="W214" s="13">
        <f t="shared" si="91"/>
        <v>13200</v>
      </c>
      <c r="Y214" s="13">
        <f t="shared" si="96"/>
        <v>13200</v>
      </c>
      <c r="Z214" s="12">
        <f t="shared" si="54"/>
        <v>657.5</v>
      </c>
      <c r="AA214" s="12">
        <f t="shared" si="92"/>
        <v>668</v>
      </c>
      <c r="AB214" s="1">
        <f t="shared" si="97"/>
        <v>0</v>
      </c>
      <c r="AC214" s="16">
        <f t="shared" si="102"/>
        <v>1325.5</v>
      </c>
      <c r="AD214" s="16">
        <f t="shared" si="93"/>
        <v>15371.5</v>
      </c>
    </row>
    <row r="215" spans="1:30" x14ac:dyDescent="0.2">
      <c r="A215" s="10" t="s">
        <v>57</v>
      </c>
      <c r="B215" s="11">
        <f t="shared" si="98"/>
        <v>106</v>
      </c>
      <c r="C215" s="11" t="s">
        <v>47</v>
      </c>
      <c r="D215" s="11" t="s">
        <v>50</v>
      </c>
      <c r="E215" s="19" t="s">
        <v>234</v>
      </c>
      <c r="F215" s="22">
        <v>42348</v>
      </c>
      <c r="G215" s="11">
        <v>30</v>
      </c>
      <c r="H215" s="13">
        <f t="shared" si="85"/>
        <v>4838.7096774193542</v>
      </c>
      <c r="I215" s="13">
        <f t="shared" si="94"/>
        <v>0</v>
      </c>
      <c r="J215" s="13">
        <f t="shared" si="100"/>
        <v>241.93548387096772</v>
      </c>
      <c r="L215" s="13">
        <f t="shared" si="104"/>
        <v>774.19354838709671</v>
      </c>
      <c r="N215" s="13">
        <f>((1950+2484+2036+0)/G$3)*G215</f>
        <v>6261.2903225806458</v>
      </c>
      <c r="O215" s="13">
        <v>0</v>
      </c>
      <c r="Q215" s="13">
        <f t="shared" si="95"/>
        <v>12116.129032258064</v>
      </c>
      <c r="R215" s="12">
        <f t="shared" si="89"/>
        <v>580.64516129032245</v>
      </c>
      <c r="S215" s="12">
        <f t="shared" si="103"/>
        <v>213</v>
      </c>
      <c r="T215" s="21">
        <v>0</v>
      </c>
      <c r="U215" s="13">
        <v>0</v>
      </c>
      <c r="V215" s="13">
        <f t="shared" si="101"/>
        <v>793.64516129032245</v>
      </c>
      <c r="W215" s="13">
        <f t="shared" si="91"/>
        <v>11322.483870967742</v>
      </c>
      <c r="Y215" s="13">
        <f t="shared" si="96"/>
        <v>11322.483870967742</v>
      </c>
      <c r="Z215" s="12">
        <f t="shared" si="54"/>
        <v>636.29032258064512</v>
      </c>
      <c r="AA215" s="12">
        <f t="shared" si="92"/>
        <v>576</v>
      </c>
      <c r="AB215" s="1">
        <f t="shared" si="97"/>
        <v>0</v>
      </c>
      <c r="AC215" s="16">
        <f t="shared" si="102"/>
        <v>1212.2903225806451</v>
      </c>
      <c r="AD215" s="16">
        <f t="shared" si="93"/>
        <v>13328.41935483871</v>
      </c>
    </row>
    <row r="216" spans="1:30" x14ac:dyDescent="0.2">
      <c r="A216" s="10" t="s">
        <v>77</v>
      </c>
      <c r="B216" s="11" t="e">
        <f>#REF!+1</f>
        <v>#REF!</v>
      </c>
      <c r="C216" s="11" t="s">
        <v>64</v>
      </c>
      <c r="D216" s="19" t="s">
        <v>50</v>
      </c>
      <c r="E216" s="19" t="s">
        <v>239</v>
      </c>
      <c r="F216" s="20">
        <v>42461</v>
      </c>
      <c r="G216" s="11">
        <v>27</v>
      </c>
      <c r="H216" s="13">
        <f t="shared" si="85"/>
        <v>4354.8387096774195</v>
      </c>
      <c r="I216" s="13">
        <f t="shared" si="94"/>
        <v>0</v>
      </c>
      <c r="J216" s="13">
        <f t="shared" si="100"/>
        <v>217.74193548387098</v>
      </c>
      <c r="L216" s="13">
        <f t="shared" si="104"/>
        <v>696.77419354838707</v>
      </c>
      <c r="N216" s="13">
        <f>((1950+1441+1552+1934)/G$3)*G216</f>
        <v>5989.6451612903229</v>
      </c>
      <c r="O216" s="13">
        <v>0</v>
      </c>
      <c r="Q216" s="13">
        <f t="shared" si="95"/>
        <v>11259</v>
      </c>
      <c r="R216" s="12">
        <f t="shared" si="89"/>
        <v>522.58064516129036</v>
      </c>
      <c r="S216" s="12">
        <f t="shared" si="103"/>
        <v>198</v>
      </c>
      <c r="T216" s="21">
        <v>0</v>
      </c>
      <c r="U216" s="13">
        <v>0</v>
      </c>
      <c r="V216" s="13">
        <f t="shared" ref="V216:V220" si="105">SUM(R216:U216)</f>
        <v>720.58064516129036</v>
      </c>
      <c r="W216" s="13">
        <f t="shared" si="91"/>
        <v>10538.41935483871</v>
      </c>
      <c r="Y216" s="13">
        <f t="shared" si="96"/>
        <v>10538.41935483871</v>
      </c>
      <c r="Z216" s="12">
        <f t="shared" si="54"/>
        <v>572.66129032258073</v>
      </c>
      <c r="AA216" s="12">
        <f t="shared" si="92"/>
        <v>535</v>
      </c>
      <c r="AB216" s="1">
        <f t="shared" si="97"/>
        <v>0</v>
      </c>
      <c r="AC216" s="16">
        <f t="shared" ref="AC216:AC220" si="106">SUM(Z216:AB216)</f>
        <v>1107.6612903225807</v>
      </c>
      <c r="AD216" s="16">
        <f t="shared" si="93"/>
        <v>12366.661290322581</v>
      </c>
    </row>
    <row r="217" spans="1:30" x14ac:dyDescent="0.2">
      <c r="A217" s="10" t="s">
        <v>78</v>
      </c>
      <c r="B217" s="11" t="e">
        <f t="shared" si="98"/>
        <v>#REF!</v>
      </c>
      <c r="C217" s="11" t="s">
        <v>490</v>
      </c>
      <c r="D217" s="19" t="s">
        <v>50</v>
      </c>
      <c r="E217" s="19" t="s">
        <v>239</v>
      </c>
      <c r="F217" s="20">
        <v>42461</v>
      </c>
      <c r="G217" s="17">
        <v>35</v>
      </c>
      <c r="H217" s="13">
        <f t="shared" si="85"/>
        <v>5645.1612903225805</v>
      </c>
      <c r="I217" s="13">
        <f t="shared" si="94"/>
        <v>0</v>
      </c>
      <c r="J217" s="13">
        <f t="shared" si="100"/>
        <v>282.25806451612902</v>
      </c>
      <c r="L217" s="13">
        <f t="shared" si="104"/>
        <v>903.22580645161281</v>
      </c>
      <c r="N217" s="13">
        <f>((1950+1441+1552+1374)/G$3)*G217</f>
        <v>7132.0967741935483</v>
      </c>
      <c r="O217" s="13">
        <v>0</v>
      </c>
      <c r="Q217" s="13">
        <f t="shared" si="95"/>
        <v>13962.741935483871</v>
      </c>
      <c r="R217" s="12">
        <f t="shared" si="89"/>
        <v>677.41935483870964</v>
      </c>
      <c r="S217" s="12">
        <f t="shared" si="103"/>
        <v>245</v>
      </c>
      <c r="T217" s="21">
        <v>0</v>
      </c>
      <c r="U217" s="13">
        <v>0</v>
      </c>
      <c r="V217" s="13">
        <f t="shared" si="105"/>
        <v>922.41935483870964</v>
      </c>
      <c r="W217" s="13">
        <f t="shared" si="91"/>
        <v>13040.322580645161</v>
      </c>
      <c r="Y217" s="13">
        <f t="shared" si="96"/>
        <v>13040.322580645161</v>
      </c>
      <c r="Z217" s="12">
        <f t="shared" si="54"/>
        <v>742.33870967741939</v>
      </c>
      <c r="AA217" s="12">
        <f t="shared" si="92"/>
        <v>664</v>
      </c>
      <c r="AB217" s="1">
        <f t="shared" si="97"/>
        <v>0</v>
      </c>
      <c r="AC217" s="16">
        <f t="shared" si="106"/>
        <v>1406.3387096774195</v>
      </c>
      <c r="AD217" s="16">
        <f t="shared" si="93"/>
        <v>15369.080645161292</v>
      </c>
    </row>
    <row r="218" spans="1:30" x14ac:dyDescent="0.2">
      <c r="A218" s="10" t="s">
        <v>79</v>
      </c>
      <c r="B218" s="11" t="e">
        <f t="shared" si="98"/>
        <v>#REF!</v>
      </c>
      <c r="C218" s="11" t="s">
        <v>65</v>
      </c>
      <c r="D218" s="19" t="s">
        <v>50</v>
      </c>
      <c r="E218" s="19" t="s">
        <v>240</v>
      </c>
      <c r="F218" s="20">
        <v>42461</v>
      </c>
      <c r="G218" s="17">
        <v>35</v>
      </c>
      <c r="H218" s="13">
        <f t="shared" si="85"/>
        <v>5645.1612903225805</v>
      </c>
      <c r="I218" s="13">
        <f t="shared" si="94"/>
        <v>0</v>
      </c>
      <c r="J218" s="13">
        <f t="shared" si="100"/>
        <v>282.25806451612902</v>
      </c>
      <c r="L218" s="13">
        <f t="shared" si="104"/>
        <v>903.22580645161281</v>
      </c>
      <c r="N218" s="13">
        <f>((1950+1441+2000)/G$3)*G218</f>
        <v>6086.6129032258068</v>
      </c>
      <c r="O218" s="13">
        <v>0</v>
      </c>
      <c r="Q218" s="13">
        <f t="shared" si="95"/>
        <v>12917.258064516129</v>
      </c>
      <c r="R218" s="12">
        <f t="shared" si="89"/>
        <v>677.41935483870964</v>
      </c>
      <c r="S218" s="12">
        <f t="shared" si="103"/>
        <v>227</v>
      </c>
      <c r="T218" s="21">
        <v>0</v>
      </c>
      <c r="U218" s="13">
        <v>0</v>
      </c>
      <c r="V218" s="13">
        <f t="shared" si="105"/>
        <v>904.41935483870964</v>
      </c>
      <c r="W218" s="13">
        <f t="shared" si="91"/>
        <v>12012.838709677419</v>
      </c>
      <c r="Y218" s="13">
        <f t="shared" si="96"/>
        <v>12012.838709677419</v>
      </c>
      <c r="Z218" s="12">
        <f t="shared" si="54"/>
        <v>742.33870967741939</v>
      </c>
      <c r="AA218" s="12">
        <f t="shared" si="92"/>
        <v>614</v>
      </c>
      <c r="AB218" s="1">
        <f t="shared" si="97"/>
        <v>0</v>
      </c>
      <c r="AC218" s="16">
        <f t="shared" si="106"/>
        <v>1356.3387096774195</v>
      </c>
      <c r="AD218" s="16">
        <f t="shared" si="93"/>
        <v>14273.596774193549</v>
      </c>
    </row>
    <row r="219" spans="1:30" x14ac:dyDescent="0.2">
      <c r="A219" s="10" t="s">
        <v>80</v>
      </c>
      <c r="B219" s="11" t="e">
        <f t="shared" si="98"/>
        <v>#REF!</v>
      </c>
      <c r="C219" s="11" t="s">
        <v>485</v>
      </c>
      <c r="D219" s="19" t="s">
        <v>50</v>
      </c>
      <c r="E219" s="19" t="s">
        <v>484</v>
      </c>
      <c r="F219" s="20">
        <v>42461</v>
      </c>
      <c r="G219" s="11">
        <v>37</v>
      </c>
      <c r="H219" s="13">
        <f t="shared" si="85"/>
        <v>5967.7419354838703</v>
      </c>
      <c r="I219" s="13">
        <f t="shared" si="94"/>
        <v>0</v>
      </c>
      <c r="J219" s="13">
        <f t="shared" si="100"/>
        <v>298.38709677419354</v>
      </c>
      <c r="L219" s="13">
        <f t="shared" si="104"/>
        <v>954.83870967741927</v>
      </c>
      <c r="N219" s="13">
        <f>((1950+1441+1806)/G$3)*G219</f>
        <v>6202.8709677419356</v>
      </c>
      <c r="O219" s="13">
        <v>0</v>
      </c>
      <c r="Q219" s="13">
        <f t="shared" si="95"/>
        <v>13423.838709677419</v>
      </c>
      <c r="R219" s="12">
        <f t="shared" si="89"/>
        <v>716.1290322580644</v>
      </c>
      <c r="S219" s="12">
        <f t="shared" si="103"/>
        <v>235</v>
      </c>
      <c r="T219" s="21">
        <v>0</v>
      </c>
      <c r="U219" s="13">
        <v>0</v>
      </c>
      <c r="V219" s="13">
        <f t="shared" si="105"/>
        <v>951.1290322580644</v>
      </c>
      <c r="W219" s="13">
        <f t="shared" si="91"/>
        <v>12472.709677419354</v>
      </c>
      <c r="Y219" s="13">
        <f t="shared" si="96"/>
        <v>12472.709677419354</v>
      </c>
      <c r="Z219" s="12">
        <f t="shared" si="54"/>
        <v>784.75806451612902</v>
      </c>
      <c r="AA219" s="12">
        <f t="shared" si="92"/>
        <v>638</v>
      </c>
      <c r="AB219" s="1">
        <f t="shared" si="97"/>
        <v>0</v>
      </c>
      <c r="AC219" s="16">
        <f t="shared" si="106"/>
        <v>1422.758064516129</v>
      </c>
      <c r="AD219" s="16">
        <f t="shared" si="93"/>
        <v>14846.596774193547</v>
      </c>
    </row>
    <row r="220" spans="1:30" x14ac:dyDescent="0.2">
      <c r="A220" s="10" t="s">
        <v>81</v>
      </c>
      <c r="B220" s="11" t="e">
        <f t="shared" si="98"/>
        <v>#REF!</v>
      </c>
      <c r="C220" s="11" t="s">
        <v>66</v>
      </c>
      <c r="D220" s="19" t="s">
        <v>50</v>
      </c>
      <c r="E220" s="19" t="s">
        <v>484</v>
      </c>
      <c r="F220" s="20">
        <v>42461</v>
      </c>
      <c r="G220" s="11">
        <v>37</v>
      </c>
      <c r="H220" s="13">
        <f t="shared" si="85"/>
        <v>5967.7419354838703</v>
      </c>
      <c r="I220" s="13">
        <f t="shared" si="94"/>
        <v>0</v>
      </c>
      <c r="J220" s="13">
        <f t="shared" si="100"/>
        <v>298.38709677419354</v>
      </c>
      <c r="L220" s="13">
        <f t="shared" si="104"/>
        <v>954.83870967741927</v>
      </c>
      <c r="N220" s="13">
        <f>((1950+1441+1806)/G$3)*G220</f>
        <v>6202.8709677419356</v>
      </c>
      <c r="O220" s="13">
        <v>0</v>
      </c>
      <c r="Q220" s="13">
        <f t="shared" si="95"/>
        <v>13423.838709677419</v>
      </c>
      <c r="R220" s="12">
        <f t="shared" si="89"/>
        <v>716.1290322580644</v>
      </c>
      <c r="S220" s="12">
        <f t="shared" si="103"/>
        <v>235</v>
      </c>
      <c r="T220" s="21">
        <v>0</v>
      </c>
      <c r="U220" s="13">
        <v>0</v>
      </c>
      <c r="V220" s="13">
        <f t="shared" si="105"/>
        <v>951.1290322580644</v>
      </c>
      <c r="W220" s="13">
        <f t="shared" si="91"/>
        <v>12472.709677419354</v>
      </c>
      <c r="Y220" s="13">
        <f t="shared" si="96"/>
        <v>12472.709677419354</v>
      </c>
      <c r="Z220" s="12">
        <f t="shared" si="54"/>
        <v>784.75806451612902</v>
      </c>
      <c r="AA220" s="12">
        <f t="shared" si="92"/>
        <v>638</v>
      </c>
      <c r="AB220" s="1">
        <f t="shared" si="97"/>
        <v>0</v>
      </c>
      <c r="AC220" s="16">
        <f t="shared" si="106"/>
        <v>1422.758064516129</v>
      </c>
      <c r="AD220" s="16">
        <f t="shared" si="93"/>
        <v>14846.596774193547</v>
      </c>
    </row>
    <row r="221" spans="1:30" x14ac:dyDescent="0.2">
      <c r="A221" s="10" t="s">
        <v>89</v>
      </c>
      <c r="B221" s="11" t="e">
        <f t="shared" si="98"/>
        <v>#REF!</v>
      </c>
      <c r="C221" s="11" t="s">
        <v>74</v>
      </c>
      <c r="D221" s="19" t="s">
        <v>50</v>
      </c>
      <c r="E221" s="19" t="s">
        <v>240</v>
      </c>
      <c r="F221" s="20">
        <v>42492</v>
      </c>
      <c r="G221" s="11">
        <v>37</v>
      </c>
      <c r="H221" s="13">
        <f t="shared" si="85"/>
        <v>5967.7419354838703</v>
      </c>
      <c r="I221" s="13">
        <f t="shared" si="94"/>
        <v>0</v>
      </c>
      <c r="J221" s="13">
        <f t="shared" si="100"/>
        <v>298.38709677419354</v>
      </c>
      <c r="L221" s="13">
        <f t="shared" si="104"/>
        <v>954.83870967741927</v>
      </c>
      <c r="N221" s="13">
        <f>((1950+1441+3588+3328)/G$3)*G221</f>
        <v>12301.903225806453</v>
      </c>
      <c r="O221" s="13">
        <v>0</v>
      </c>
      <c r="Q221" s="13">
        <f t="shared" si="95"/>
        <v>19522.870967741936</v>
      </c>
      <c r="R221" s="12">
        <f t="shared" si="89"/>
        <v>716.1290322580644</v>
      </c>
      <c r="S221" s="12">
        <f t="shared" si="103"/>
        <v>342</v>
      </c>
      <c r="T221" s="21">
        <v>0</v>
      </c>
      <c r="U221" s="13">
        <v>0</v>
      </c>
      <c r="V221" s="13">
        <f t="shared" ref="V221:V222" si="107">SUM(R221:U221)</f>
        <v>1058.1290322580644</v>
      </c>
      <c r="W221" s="13">
        <f t="shared" si="91"/>
        <v>18464.741935483871</v>
      </c>
      <c r="Y221" s="13">
        <f t="shared" si="96"/>
        <v>18464.741935483871</v>
      </c>
      <c r="Z221" s="12">
        <f t="shared" si="54"/>
        <v>784.75806451612902</v>
      </c>
      <c r="AA221" s="12">
        <f t="shared" si="92"/>
        <v>928</v>
      </c>
      <c r="AB221" s="1">
        <f t="shared" si="97"/>
        <v>0</v>
      </c>
      <c r="AC221" s="16">
        <f t="shared" ref="AC221:AC222" si="108">SUM(Z221:AB221)</f>
        <v>1712.758064516129</v>
      </c>
      <c r="AD221" s="16">
        <f t="shared" si="93"/>
        <v>21235.629032258064</v>
      </c>
    </row>
    <row r="222" spans="1:30" x14ac:dyDescent="0.2">
      <c r="A222" s="10" t="s">
        <v>90</v>
      </c>
      <c r="B222" s="11" t="e">
        <f t="shared" si="98"/>
        <v>#REF!</v>
      </c>
      <c r="C222" s="11" t="s">
        <v>233</v>
      </c>
      <c r="D222" s="19" t="s">
        <v>50</v>
      </c>
      <c r="E222" s="19" t="s">
        <v>240</v>
      </c>
      <c r="F222" s="20">
        <v>42492</v>
      </c>
      <c r="G222" s="11">
        <v>33</v>
      </c>
      <c r="H222" s="13">
        <f t="shared" si="85"/>
        <v>5322.5806451612898</v>
      </c>
      <c r="I222" s="13">
        <f t="shared" si="94"/>
        <v>0</v>
      </c>
      <c r="J222" s="13">
        <f t="shared" si="100"/>
        <v>266.12903225806451</v>
      </c>
      <c r="L222" s="13">
        <f t="shared" si="104"/>
        <v>851.61290322580635</v>
      </c>
      <c r="N222" s="13">
        <f>((1950+1441+3588+3328)/G$3)*G222</f>
        <v>10971.967741935485</v>
      </c>
      <c r="O222" s="13">
        <v>0</v>
      </c>
      <c r="Q222" s="13">
        <f t="shared" si="95"/>
        <v>17412.290322580644</v>
      </c>
      <c r="R222" s="12">
        <f t="shared" si="89"/>
        <v>638.70967741935476</v>
      </c>
      <c r="S222" s="12">
        <f t="shared" si="103"/>
        <v>305</v>
      </c>
      <c r="T222" s="21">
        <v>0</v>
      </c>
      <c r="U222" s="13">
        <v>0</v>
      </c>
      <c r="V222" s="13">
        <f t="shared" si="107"/>
        <v>943.70967741935476</v>
      </c>
      <c r="W222" s="13">
        <f t="shared" si="91"/>
        <v>16468.580645161288</v>
      </c>
      <c r="Y222" s="13">
        <f t="shared" si="96"/>
        <v>16468.580645161288</v>
      </c>
      <c r="Z222" s="12">
        <f t="shared" si="54"/>
        <v>699.91935483870964</v>
      </c>
      <c r="AA222" s="12">
        <f t="shared" si="92"/>
        <v>828</v>
      </c>
      <c r="AB222" s="1">
        <f t="shared" si="97"/>
        <v>0</v>
      </c>
      <c r="AC222" s="16">
        <f t="shared" si="108"/>
        <v>1527.9193548387098</v>
      </c>
      <c r="AD222" s="16">
        <f t="shared" si="93"/>
        <v>18940.209677419352</v>
      </c>
    </row>
    <row r="223" spans="1:30" x14ac:dyDescent="0.2">
      <c r="A223" s="10" t="s">
        <v>92</v>
      </c>
      <c r="B223" s="11" t="e">
        <f t="shared" si="98"/>
        <v>#REF!</v>
      </c>
      <c r="C223" s="11" t="s">
        <v>72</v>
      </c>
      <c r="D223" s="19" t="s">
        <v>50</v>
      </c>
      <c r="E223" s="19" t="s">
        <v>484</v>
      </c>
      <c r="F223" s="20">
        <v>42491</v>
      </c>
      <c r="G223" s="11">
        <v>36</v>
      </c>
      <c r="H223" s="13">
        <f t="shared" si="85"/>
        <v>5806.4516129032254</v>
      </c>
      <c r="I223" s="13">
        <f t="shared" si="94"/>
        <v>0</v>
      </c>
      <c r="J223" s="13">
        <f t="shared" si="100"/>
        <v>290.32258064516128</v>
      </c>
      <c r="L223" s="13">
        <f t="shared" si="104"/>
        <v>929.0322580645161</v>
      </c>
      <c r="N223" s="13">
        <f>((1950+1441+1857)/G$3)*G223</f>
        <v>6094.4516129032254</v>
      </c>
      <c r="O223" s="13">
        <v>0</v>
      </c>
      <c r="Q223" s="13">
        <f t="shared" si="95"/>
        <v>13120.258064516129</v>
      </c>
      <c r="R223" s="12">
        <f t="shared" si="89"/>
        <v>696.77419354838707</v>
      </c>
      <c r="S223" s="12">
        <f t="shared" si="103"/>
        <v>230</v>
      </c>
      <c r="T223" s="21">
        <v>0</v>
      </c>
      <c r="U223" s="13">
        <v>0</v>
      </c>
      <c r="V223" s="13">
        <f t="shared" ref="V223:V226" si="109">SUM(R223:U223)</f>
        <v>926.77419354838707</v>
      </c>
      <c r="W223" s="13">
        <f t="shared" si="91"/>
        <v>12193.483870967742</v>
      </c>
      <c r="Y223" s="13">
        <f t="shared" si="96"/>
        <v>12193.483870967742</v>
      </c>
      <c r="Z223" s="12">
        <f t="shared" si="54"/>
        <v>763.54838709677415</v>
      </c>
      <c r="AA223" s="12">
        <f t="shared" si="92"/>
        <v>624</v>
      </c>
      <c r="AB223" s="1">
        <f t="shared" si="97"/>
        <v>0</v>
      </c>
      <c r="AC223" s="16">
        <f t="shared" ref="AC223:AC229" si="110">SUM(Z223:AB223)</f>
        <v>1387.5483870967741</v>
      </c>
      <c r="AD223" s="16">
        <f t="shared" si="93"/>
        <v>14507.806451612903</v>
      </c>
    </row>
    <row r="224" spans="1:30" x14ac:dyDescent="0.2">
      <c r="A224" s="10" t="s">
        <v>101</v>
      </c>
      <c r="B224" s="11" t="e">
        <f>#REF!+1</f>
        <v>#REF!</v>
      </c>
      <c r="C224" s="11" t="s">
        <v>85</v>
      </c>
      <c r="D224" s="19" t="s">
        <v>50</v>
      </c>
      <c r="E224" s="19" t="s">
        <v>241</v>
      </c>
      <c r="F224" s="20">
        <v>42524</v>
      </c>
      <c r="G224" s="11">
        <v>34</v>
      </c>
      <c r="H224" s="13">
        <f t="shared" si="85"/>
        <v>5483.8709677419356</v>
      </c>
      <c r="I224" s="13">
        <f t="shared" si="94"/>
        <v>0</v>
      </c>
      <c r="J224" s="13">
        <f t="shared" si="100"/>
        <v>274.19354838709677</v>
      </c>
      <c r="L224" s="13">
        <f t="shared" si="104"/>
        <v>877.41935483870964</v>
      </c>
      <c r="N224" s="13">
        <f>((1950+1441+2290)/G$3)*G224</f>
        <v>6230.7741935483864</v>
      </c>
      <c r="O224" s="13">
        <v>0</v>
      </c>
      <c r="Q224" s="13">
        <f t="shared" si="95"/>
        <v>12866.258064516129</v>
      </c>
      <c r="R224" s="12">
        <f t="shared" si="89"/>
        <v>658.0645161290322</v>
      </c>
      <c r="S224" s="12">
        <f t="shared" si="103"/>
        <v>226</v>
      </c>
      <c r="T224" s="21">
        <v>0</v>
      </c>
      <c r="U224" s="13">
        <v>0</v>
      </c>
      <c r="V224" s="13">
        <f t="shared" si="109"/>
        <v>884.0645161290322</v>
      </c>
      <c r="W224" s="13">
        <f t="shared" si="91"/>
        <v>11982.193548387097</v>
      </c>
      <c r="Y224" s="13">
        <f t="shared" si="96"/>
        <v>11982.193548387097</v>
      </c>
      <c r="Z224" s="12">
        <f t="shared" si="54"/>
        <v>721.12903225806451</v>
      </c>
      <c r="AA224" s="12">
        <f t="shared" si="92"/>
        <v>612</v>
      </c>
      <c r="AB224" s="1">
        <f t="shared" si="97"/>
        <v>0</v>
      </c>
      <c r="AC224" s="16">
        <f t="shared" si="110"/>
        <v>1333.1290322580644</v>
      </c>
      <c r="AD224" s="16">
        <f t="shared" si="93"/>
        <v>14199.387096774193</v>
      </c>
    </row>
    <row r="225" spans="1:31" x14ac:dyDescent="0.2">
      <c r="A225" s="10" t="s">
        <v>102</v>
      </c>
      <c r="B225" s="11" t="e">
        <f t="shared" si="98"/>
        <v>#REF!</v>
      </c>
      <c r="C225" s="11" t="s">
        <v>86</v>
      </c>
      <c r="D225" s="19" t="s">
        <v>50</v>
      </c>
      <c r="E225" s="19" t="s">
        <v>242</v>
      </c>
      <c r="F225" s="20">
        <v>42530</v>
      </c>
      <c r="G225" s="11">
        <v>35</v>
      </c>
      <c r="H225" s="13">
        <f t="shared" si="85"/>
        <v>5645.1612903225805</v>
      </c>
      <c r="I225" s="13">
        <f t="shared" si="94"/>
        <v>0</v>
      </c>
      <c r="J225" s="13">
        <f t="shared" si="100"/>
        <v>282.25806451612902</v>
      </c>
      <c r="L225" s="13">
        <f t="shared" si="104"/>
        <v>903.22580645161281</v>
      </c>
      <c r="N225" s="13">
        <f>((1950+1441+1806)/G$3)*G225</f>
        <v>5867.5806451612907</v>
      </c>
      <c r="O225" s="13">
        <v>0</v>
      </c>
      <c r="Q225" s="13">
        <f t="shared" si="95"/>
        <v>12698.225806451614</v>
      </c>
      <c r="R225" s="12">
        <f t="shared" si="89"/>
        <v>677.41935483870964</v>
      </c>
      <c r="S225" s="12">
        <f t="shared" si="103"/>
        <v>223</v>
      </c>
      <c r="T225" s="21">
        <v>0</v>
      </c>
      <c r="U225" s="13">
        <v>0</v>
      </c>
      <c r="V225" s="13">
        <f t="shared" si="109"/>
        <v>900.41935483870964</v>
      </c>
      <c r="W225" s="13">
        <f t="shared" si="91"/>
        <v>11797.806451612903</v>
      </c>
      <c r="Y225" s="13">
        <f t="shared" si="96"/>
        <v>11797.806451612903</v>
      </c>
      <c r="Z225" s="12">
        <f t="shared" si="54"/>
        <v>742.33870967741939</v>
      </c>
      <c r="AA225" s="12">
        <f t="shared" si="92"/>
        <v>604</v>
      </c>
      <c r="AB225" s="1">
        <f t="shared" si="97"/>
        <v>0</v>
      </c>
      <c r="AC225" s="16">
        <f t="shared" si="110"/>
        <v>1346.3387096774195</v>
      </c>
      <c r="AD225" s="16">
        <f t="shared" si="93"/>
        <v>14044.564516129034</v>
      </c>
    </row>
    <row r="226" spans="1:31" x14ac:dyDescent="0.2">
      <c r="A226" s="10" t="s">
        <v>103</v>
      </c>
      <c r="B226" s="11" t="e">
        <f t="shared" si="98"/>
        <v>#REF!</v>
      </c>
      <c r="C226" s="11" t="s">
        <v>40</v>
      </c>
      <c r="D226" s="19" t="s">
        <v>50</v>
      </c>
      <c r="E226" s="19" t="s">
        <v>234</v>
      </c>
      <c r="F226" s="20">
        <v>42534</v>
      </c>
      <c r="G226" s="11">
        <v>32</v>
      </c>
      <c r="H226" s="13">
        <f t="shared" si="85"/>
        <v>5161.2903225806449</v>
      </c>
      <c r="I226" s="13">
        <f t="shared" si="94"/>
        <v>0</v>
      </c>
      <c r="J226" s="13">
        <f t="shared" si="100"/>
        <v>258.06451612903226</v>
      </c>
      <c r="L226" s="13">
        <f t="shared" si="104"/>
        <v>825.80645161290317</v>
      </c>
      <c r="N226" s="13">
        <f>((6266)/G$3)*G226</f>
        <v>6468.1290322580644</v>
      </c>
      <c r="O226" s="13">
        <v>0</v>
      </c>
      <c r="Q226" s="13">
        <f t="shared" si="95"/>
        <v>12713.290322580644</v>
      </c>
      <c r="R226" s="12">
        <f t="shared" si="89"/>
        <v>619.35483870967732</v>
      </c>
      <c r="S226" s="12">
        <f t="shared" si="103"/>
        <v>223</v>
      </c>
      <c r="T226" s="21">
        <v>0</v>
      </c>
      <c r="U226" s="13">
        <v>0</v>
      </c>
      <c r="V226" s="13">
        <f t="shared" si="109"/>
        <v>842.35483870967732</v>
      </c>
      <c r="W226" s="13">
        <f t="shared" si="91"/>
        <v>11870.935483870966</v>
      </c>
      <c r="Y226" s="13">
        <f t="shared" si="96"/>
        <v>11870.935483870966</v>
      </c>
      <c r="Z226" s="12">
        <f t="shared" si="54"/>
        <v>678.70967741935488</v>
      </c>
      <c r="AA226" s="12">
        <f t="shared" si="92"/>
        <v>604</v>
      </c>
      <c r="AB226" s="1">
        <f t="shared" si="97"/>
        <v>0</v>
      </c>
      <c r="AC226" s="16">
        <f t="shared" si="110"/>
        <v>1282.7096774193549</v>
      </c>
      <c r="AD226" s="16">
        <f t="shared" si="93"/>
        <v>13995.999999999998</v>
      </c>
    </row>
    <row r="227" spans="1:31" x14ac:dyDescent="0.2">
      <c r="A227" s="10" t="s">
        <v>117</v>
      </c>
      <c r="B227" s="11" t="e">
        <f t="shared" si="98"/>
        <v>#REF!</v>
      </c>
      <c r="C227" s="11" t="s">
        <v>113</v>
      </c>
      <c r="D227" s="19" t="s">
        <v>50</v>
      </c>
      <c r="E227" s="19" t="s">
        <v>234</v>
      </c>
      <c r="F227" s="20">
        <v>42583</v>
      </c>
      <c r="G227" s="11">
        <v>37</v>
      </c>
      <c r="H227" s="13">
        <f t="shared" si="85"/>
        <v>5967.7419354838703</v>
      </c>
      <c r="I227" s="13">
        <f t="shared" si="94"/>
        <v>0</v>
      </c>
      <c r="J227" s="13">
        <f t="shared" si="100"/>
        <v>298.38709677419354</v>
      </c>
      <c r="L227" s="13">
        <f t="shared" si="104"/>
        <v>954.83870967741927</v>
      </c>
      <c r="N227" s="13">
        <f>((1950+1441+1043+814+1603)/G$3)*G227</f>
        <v>8177</v>
      </c>
      <c r="O227" s="13">
        <v>0</v>
      </c>
      <c r="Q227" s="13">
        <f t="shared" si="95"/>
        <v>15397.967741935483</v>
      </c>
      <c r="R227" s="12">
        <f t="shared" si="89"/>
        <v>716.1290322580644</v>
      </c>
      <c r="S227" s="12">
        <f t="shared" si="103"/>
        <v>270</v>
      </c>
      <c r="T227" s="21">
        <v>0</v>
      </c>
      <c r="U227" s="13">
        <v>0</v>
      </c>
      <c r="V227" s="13">
        <f t="shared" ref="V227:V229" si="111">SUM(R227:U227)</f>
        <v>986.1290322580644</v>
      </c>
      <c r="W227" s="13">
        <f t="shared" si="91"/>
        <v>14411.838709677419</v>
      </c>
      <c r="Y227" s="13">
        <f t="shared" si="96"/>
        <v>14411.838709677419</v>
      </c>
      <c r="Z227" s="12">
        <f t="shared" si="54"/>
        <v>784.75806451612902</v>
      </c>
      <c r="AA227" s="12">
        <f t="shared" si="92"/>
        <v>732</v>
      </c>
      <c r="AB227" s="1">
        <f t="shared" si="97"/>
        <v>0</v>
      </c>
      <c r="AC227" s="16">
        <f t="shared" si="110"/>
        <v>1516.758064516129</v>
      </c>
      <c r="AD227" s="16">
        <f t="shared" si="93"/>
        <v>16914.725806451614</v>
      </c>
      <c r="AE227" s="11" t="s">
        <v>1030</v>
      </c>
    </row>
    <row r="228" spans="1:31" x14ac:dyDescent="0.2">
      <c r="A228" s="10" t="s">
        <v>118</v>
      </c>
      <c r="B228" s="11" t="e">
        <f t="shared" si="98"/>
        <v>#REF!</v>
      </c>
      <c r="C228" s="11" t="s">
        <v>114</v>
      </c>
      <c r="D228" s="19" t="s">
        <v>50</v>
      </c>
      <c r="E228" s="19" t="s">
        <v>238</v>
      </c>
      <c r="F228" s="20">
        <v>42583</v>
      </c>
      <c r="G228" s="11">
        <v>26</v>
      </c>
      <c r="H228" s="13">
        <f t="shared" si="85"/>
        <v>4193.5483870967737</v>
      </c>
      <c r="I228" s="13">
        <f t="shared" si="94"/>
        <v>0</v>
      </c>
      <c r="J228" s="13">
        <f t="shared" si="100"/>
        <v>209.67741935483869</v>
      </c>
      <c r="L228" s="13">
        <f t="shared" si="104"/>
        <v>670.96774193548379</v>
      </c>
      <c r="N228" s="13">
        <f>((1950+1441+839+1018)/G$3)*G228</f>
        <v>4401.5483870967737</v>
      </c>
      <c r="O228" s="13">
        <v>0</v>
      </c>
      <c r="Q228" s="13">
        <f t="shared" si="95"/>
        <v>9475.7419354838712</v>
      </c>
      <c r="R228" s="12">
        <f t="shared" si="89"/>
        <v>503.22580645161281</v>
      </c>
      <c r="S228" s="12">
        <f t="shared" si="103"/>
        <v>166</v>
      </c>
      <c r="T228" s="21">
        <v>0</v>
      </c>
      <c r="U228" s="13">
        <v>0</v>
      </c>
      <c r="V228" s="13">
        <f t="shared" si="111"/>
        <v>669.22580645161281</v>
      </c>
      <c r="W228" s="13">
        <f t="shared" si="91"/>
        <v>8806.5161290322576</v>
      </c>
      <c r="Y228" s="13">
        <f t="shared" si="96"/>
        <v>8806.5161290322576</v>
      </c>
      <c r="Z228" s="12">
        <f t="shared" si="54"/>
        <v>551.45161290322574</v>
      </c>
      <c r="AA228" s="12">
        <f t="shared" si="92"/>
        <v>451</v>
      </c>
      <c r="AB228" s="1">
        <f t="shared" si="97"/>
        <v>0</v>
      </c>
      <c r="AC228" s="16">
        <f t="shared" si="110"/>
        <v>1002.4516129032257</v>
      </c>
      <c r="AD228" s="16">
        <f t="shared" si="93"/>
        <v>10478.193548387097</v>
      </c>
      <c r="AE228" s="11" t="s">
        <v>1030</v>
      </c>
    </row>
    <row r="229" spans="1:31" x14ac:dyDescent="0.2">
      <c r="A229" s="10" t="s">
        <v>119</v>
      </c>
      <c r="B229" s="11" t="e">
        <f t="shared" si="98"/>
        <v>#REF!</v>
      </c>
      <c r="C229" s="11" t="s">
        <v>480</v>
      </c>
      <c r="D229" s="19" t="s">
        <v>50</v>
      </c>
      <c r="E229" s="19" t="s">
        <v>484</v>
      </c>
      <c r="F229" s="20">
        <v>42583</v>
      </c>
      <c r="G229" s="11">
        <v>29</v>
      </c>
      <c r="H229" s="13">
        <f t="shared" si="85"/>
        <v>4677.4193548387093</v>
      </c>
      <c r="I229" s="13">
        <f t="shared" si="94"/>
        <v>0</v>
      </c>
      <c r="J229" s="13">
        <f t="shared" si="100"/>
        <v>233.87096774193549</v>
      </c>
      <c r="L229" s="13">
        <f t="shared" si="104"/>
        <v>748.38709677419354</v>
      </c>
      <c r="N229" s="13">
        <f>((1950+1441+1043+814+0)/G$3)*G229</f>
        <v>4909.4193548387093</v>
      </c>
      <c r="O229" s="13">
        <v>0</v>
      </c>
      <c r="Q229" s="13">
        <f t="shared" si="95"/>
        <v>10569.096774193547</v>
      </c>
      <c r="R229" s="12">
        <f t="shared" si="89"/>
        <v>561.29032258064512</v>
      </c>
      <c r="S229" s="12">
        <f t="shared" si="103"/>
        <v>185</v>
      </c>
      <c r="T229" s="21">
        <v>0</v>
      </c>
      <c r="U229" s="13">
        <v>0</v>
      </c>
      <c r="V229" s="13">
        <f t="shared" si="111"/>
        <v>746.29032258064512</v>
      </c>
      <c r="W229" s="13">
        <f t="shared" si="91"/>
        <v>9822.8064516129016</v>
      </c>
      <c r="Y229" s="13">
        <f t="shared" si="96"/>
        <v>9822.8064516129016</v>
      </c>
      <c r="Z229" s="12">
        <f t="shared" ref="Z229:Z292" si="112">(H229+I229)*13.15%</f>
        <v>615.08064516129025</v>
      </c>
      <c r="AA229" s="12">
        <f t="shared" si="92"/>
        <v>503</v>
      </c>
      <c r="AB229" s="1">
        <f t="shared" si="97"/>
        <v>0</v>
      </c>
      <c r="AC229" s="16">
        <f t="shared" si="110"/>
        <v>1118.0806451612902</v>
      </c>
      <c r="AD229" s="16">
        <f t="shared" si="93"/>
        <v>11687.177419354837</v>
      </c>
      <c r="AE229" s="11" t="s">
        <v>1030</v>
      </c>
    </row>
    <row r="230" spans="1:31" x14ac:dyDescent="0.2">
      <c r="A230" s="10" t="s">
        <v>141</v>
      </c>
      <c r="B230" s="11" t="e">
        <f t="shared" si="98"/>
        <v>#REF!</v>
      </c>
      <c r="C230" s="11" t="s">
        <v>128</v>
      </c>
      <c r="D230" s="19" t="s">
        <v>50</v>
      </c>
      <c r="E230" s="19" t="s">
        <v>484</v>
      </c>
      <c r="F230" s="20">
        <v>42646</v>
      </c>
      <c r="G230" s="11">
        <v>34</v>
      </c>
      <c r="H230" s="13">
        <f t="shared" si="85"/>
        <v>5483.8709677419356</v>
      </c>
      <c r="I230" s="13">
        <f t="shared" si="94"/>
        <v>0</v>
      </c>
      <c r="J230" s="13">
        <f t="shared" si="100"/>
        <v>274.19354838709677</v>
      </c>
      <c r="L230" s="13">
        <f t="shared" si="104"/>
        <v>877.41935483870964</v>
      </c>
      <c r="N230" s="13">
        <f>((1950+1441+839+0)/G$3)*G230</f>
        <v>4639.3548387096771</v>
      </c>
      <c r="O230" s="13">
        <v>0</v>
      </c>
      <c r="Q230" s="13">
        <f t="shared" si="95"/>
        <v>11274.838709677419</v>
      </c>
      <c r="R230" s="12">
        <f t="shared" si="89"/>
        <v>658.0645161290322</v>
      </c>
      <c r="S230" s="12">
        <f t="shared" si="103"/>
        <v>198</v>
      </c>
      <c r="T230" s="21">
        <v>0</v>
      </c>
      <c r="U230" s="13">
        <v>0</v>
      </c>
      <c r="V230" s="13">
        <f t="shared" ref="V230:V231" si="113">SUM(R230:U230)</f>
        <v>856.0645161290322</v>
      </c>
      <c r="W230" s="13">
        <f t="shared" si="91"/>
        <v>10418.774193548386</v>
      </c>
      <c r="Y230" s="13">
        <f t="shared" si="96"/>
        <v>10418.774193548386</v>
      </c>
      <c r="Z230" s="12">
        <f t="shared" si="112"/>
        <v>721.12903225806451</v>
      </c>
      <c r="AA230" s="12">
        <f t="shared" si="92"/>
        <v>536</v>
      </c>
      <c r="AB230" s="1">
        <f t="shared" si="97"/>
        <v>0</v>
      </c>
      <c r="AC230" s="16">
        <f t="shared" ref="AC230:AC231" si="114">SUM(Z230:AB230)</f>
        <v>1257.1290322580644</v>
      </c>
      <c r="AD230" s="16">
        <f t="shared" si="93"/>
        <v>12531.967741935483</v>
      </c>
    </row>
    <row r="231" spans="1:31" x14ac:dyDescent="0.2">
      <c r="A231" s="10" t="s">
        <v>142</v>
      </c>
      <c r="B231" s="11" t="e">
        <f t="shared" si="98"/>
        <v>#REF!</v>
      </c>
      <c r="C231" s="11" t="s">
        <v>486</v>
      </c>
      <c r="D231" s="19" t="s">
        <v>50</v>
      </c>
      <c r="E231" s="19" t="s">
        <v>484</v>
      </c>
      <c r="F231" s="20">
        <v>42648</v>
      </c>
      <c r="G231" s="11">
        <v>28</v>
      </c>
      <c r="H231" s="13">
        <f t="shared" si="85"/>
        <v>4516.1290322580644</v>
      </c>
      <c r="I231" s="13">
        <f t="shared" si="94"/>
        <v>0</v>
      </c>
      <c r="J231" s="13">
        <f t="shared" si="100"/>
        <v>225.80645161290323</v>
      </c>
      <c r="L231" s="13">
        <f t="shared" si="104"/>
        <v>722.58064516129025</v>
      </c>
      <c r="N231" s="13">
        <f>((1950+1441+839+0)/G$3)*G231</f>
        <v>3820.645161290322</v>
      </c>
      <c r="O231" s="13">
        <v>0</v>
      </c>
      <c r="Q231" s="13">
        <f t="shared" si="95"/>
        <v>9285.1612903225796</v>
      </c>
      <c r="R231" s="12">
        <f t="shared" si="89"/>
        <v>541.93548387096769</v>
      </c>
      <c r="S231" s="12">
        <f t="shared" si="103"/>
        <v>163</v>
      </c>
      <c r="T231" s="21">
        <v>0</v>
      </c>
      <c r="U231" s="13">
        <v>0</v>
      </c>
      <c r="V231" s="13">
        <f t="shared" si="113"/>
        <v>704.93548387096769</v>
      </c>
      <c r="W231" s="13">
        <f t="shared" si="91"/>
        <v>8580.2258064516118</v>
      </c>
      <c r="Y231" s="13">
        <f t="shared" si="96"/>
        <v>8580.2258064516118</v>
      </c>
      <c r="Z231" s="12">
        <f t="shared" si="112"/>
        <v>593.87096774193549</v>
      </c>
      <c r="AA231" s="12">
        <f t="shared" si="92"/>
        <v>442</v>
      </c>
      <c r="AB231" s="1">
        <f t="shared" si="97"/>
        <v>0</v>
      </c>
      <c r="AC231" s="16">
        <f t="shared" si="114"/>
        <v>1035.8709677419356</v>
      </c>
      <c r="AD231" s="16">
        <f t="shared" si="93"/>
        <v>10321.032258064515</v>
      </c>
    </row>
    <row r="232" spans="1:31" x14ac:dyDescent="0.2">
      <c r="A232" s="10" t="s">
        <v>159</v>
      </c>
      <c r="B232" s="11" t="e">
        <f t="shared" si="98"/>
        <v>#REF!</v>
      </c>
      <c r="C232" s="11" t="s">
        <v>135</v>
      </c>
      <c r="D232" s="19" t="s">
        <v>50</v>
      </c>
      <c r="E232" s="19" t="s">
        <v>241</v>
      </c>
      <c r="F232" s="20">
        <v>42689</v>
      </c>
      <c r="G232" s="11">
        <v>38</v>
      </c>
      <c r="H232" s="13">
        <f t="shared" si="85"/>
        <v>6129.0322580645161</v>
      </c>
      <c r="I232" s="13">
        <f t="shared" si="94"/>
        <v>0</v>
      </c>
      <c r="J232" s="13">
        <f t="shared" si="100"/>
        <v>306.45161290322579</v>
      </c>
      <c r="L232" s="13">
        <f t="shared" si="104"/>
        <v>980.64516129032256</v>
      </c>
      <c r="N232" s="13">
        <f>((9014+0)/G$3)*G232</f>
        <v>11049.419354838708</v>
      </c>
      <c r="O232" s="13">
        <v>0</v>
      </c>
      <c r="Q232" s="13">
        <f t="shared" si="95"/>
        <v>18465.548387096773</v>
      </c>
      <c r="R232" s="12">
        <f t="shared" si="89"/>
        <v>735.48387096774195</v>
      </c>
      <c r="S232" s="12">
        <f t="shared" si="103"/>
        <v>324</v>
      </c>
      <c r="T232" s="21">
        <v>0</v>
      </c>
      <c r="U232" s="13">
        <v>0</v>
      </c>
      <c r="V232" s="13">
        <f t="shared" ref="V232:V235" si="115">SUM(R232:U232)</f>
        <v>1059.483870967742</v>
      </c>
      <c r="W232" s="13">
        <f t="shared" si="91"/>
        <v>17406.06451612903</v>
      </c>
      <c r="Y232" s="13">
        <f t="shared" si="96"/>
        <v>17406.06451612903</v>
      </c>
      <c r="Z232" s="12">
        <f t="shared" si="112"/>
        <v>805.9677419354839</v>
      </c>
      <c r="AA232" s="12">
        <f t="shared" si="92"/>
        <v>878</v>
      </c>
      <c r="AB232" s="1">
        <f t="shared" si="97"/>
        <v>0</v>
      </c>
      <c r="AC232" s="16">
        <f t="shared" ref="AC232:AC235" si="116">SUM(Z232:AB232)</f>
        <v>1683.9677419354839</v>
      </c>
      <c r="AD232" s="16">
        <f t="shared" si="93"/>
        <v>20149.516129032258</v>
      </c>
    </row>
    <row r="233" spans="1:31" x14ac:dyDescent="0.2">
      <c r="A233" s="10" t="s">
        <v>160</v>
      </c>
      <c r="B233" s="11" t="e">
        <f t="shared" si="98"/>
        <v>#REF!</v>
      </c>
      <c r="C233" s="11" t="s">
        <v>198</v>
      </c>
      <c r="D233" s="19" t="s">
        <v>50</v>
      </c>
      <c r="E233" s="19" t="s">
        <v>240</v>
      </c>
      <c r="F233" s="20">
        <v>42675</v>
      </c>
      <c r="G233" s="11">
        <v>34</v>
      </c>
      <c r="H233" s="13">
        <f t="shared" si="85"/>
        <v>5483.8709677419356</v>
      </c>
      <c r="I233" s="13">
        <f t="shared" si="94"/>
        <v>0</v>
      </c>
      <c r="J233" s="13">
        <f t="shared" si="100"/>
        <v>274.19354838709677</v>
      </c>
      <c r="L233" s="13">
        <f t="shared" si="104"/>
        <v>877.41935483870964</v>
      </c>
      <c r="N233" s="13">
        <f>((6979+814+0)/G$3)*G233</f>
        <v>8547.1612903225796</v>
      </c>
      <c r="O233" s="13">
        <v>0</v>
      </c>
      <c r="Q233" s="13">
        <f t="shared" si="95"/>
        <v>15182.645161290322</v>
      </c>
      <c r="R233" s="12">
        <f t="shared" si="89"/>
        <v>658.0645161290322</v>
      </c>
      <c r="S233" s="12">
        <f t="shared" si="103"/>
        <v>266</v>
      </c>
      <c r="T233" s="21">
        <v>0</v>
      </c>
      <c r="U233" s="13">
        <v>0</v>
      </c>
      <c r="V233" s="13">
        <f t="shared" si="115"/>
        <v>924.0645161290322</v>
      </c>
      <c r="W233" s="13">
        <f t="shared" si="91"/>
        <v>14258.58064516129</v>
      </c>
      <c r="Y233" s="13">
        <f t="shared" si="96"/>
        <v>14258.58064516129</v>
      </c>
      <c r="Z233" s="12">
        <f t="shared" si="112"/>
        <v>721.12903225806451</v>
      </c>
      <c r="AA233" s="12">
        <f t="shared" si="92"/>
        <v>722</v>
      </c>
      <c r="AB233" s="1">
        <f t="shared" si="97"/>
        <v>0</v>
      </c>
      <c r="AC233" s="16">
        <f t="shared" si="116"/>
        <v>1443.1290322580644</v>
      </c>
      <c r="AD233" s="16">
        <f t="shared" si="93"/>
        <v>16625.774193548386</v>
      </c>
    </row>
    <row r="234" spans="1:31" x14ac:dyDescent="0.2">
      <c r="A234" s="10" t="s">
        <v>161</v>
      </c>
      <c r="B234" s="11" t="e">
        <f t="shared" si="98"/>
        <v>#REF!</v>
      </c>
      <c r="C234" s="11" t="s">
        <v>203</v>
      </c>
      <c r="D234" s="19" t="s">
        <v>50</v>
      </c>
      <c r="E234" s="19" t="s">
        <v>241</v>
      </c>
      <c r="F234" s="20">
        <v>42688</v>
      </c>
      <c r="G234" s="11">
        <v>33</v>
      </c>
      <c r="H234" s="13">
        <f t="shared" si="85"/>
        <v>5322.5806451612898</v>
      </c>
      <c r="I234" s="13">
        <f t="shared" si="94"/>
        <v>0</v>
      </c>
      <c r="J234" s="13">
        <f t="shared" si="100"/>
        <v>266.12903225806451</v>
      </c>
      <c r="L234" s="13">
        <f t="shared" si="104"/>
        <v>851.61290322580635</v>
      </c>
      <c r="N234" s="13">
        <f>((1950+1441+839+0)/G$3)*G234</f>
        <v>4502.9032258064508</v>
      </c>
      <c r="O234" s="13">
        <v>0</v>
      </c>
      <c r="Q234" s="13">
        <f t="shared" si="95"/>
        <v>10943.225806451612</v>
      </c>
      <c r="R234" s="12">
        <f t="shared" si="89"/>
        <v>638.70967741935476</v>
      </c>
      <c r="S234" s="12">
        <f t="shared" si="103"/>
        <v>192</v>
      </c>
      <c r="T234" s="21">
        <v>0</v>
      </c>
      <c r="U234" s="13">
        <v>0</v>
      </c>
      <c r="V234" s="13">
        <f t="shared" si="115"/>
        <v>830.70967741935476</v>
      </c>
      <c r="W234" s="13">
        <f t="shared" si="91"/>
        <v>10112.516129032258</v>
      </c>
      <c r="Y234" s="13">
        <f t="shared" si="96"/>
        <v>10112.516129032258</v>
      </c>
      <c r="Z234" s="12">
        <f t="shared" si="112"/>
        <v>699.91935483870964</v>
      </c>
      <c r="AA234" s="12">
        <f t="shared" si="92"/>
        <v>520</v>
      </c>
      <c r="AB234" s="1">
        <f t="shared" si="97"/>
        <v>0</v>
      </c>
      <c r="AC234" s="16">
        <f t="shared" si="116"/>
        <v>1219.9193548387098</v>
      </c>
      <c r="AD234" s="16">
        <f t="shared" si="93"/>
        <v>12163.145161290322</v>
      </c>
    </row>
    <row r="235" spans="1:31" x14ac:dyDescent="0.2">
      <c r="A235" s="10" t="s">
        <v>163</v>
      </c>
      <c r="B235" s="11" t="e">
        <f>#REF!+1</f>
        <v>#REF!</v>
      </c>
      <c r="C235" s="11" t="s">
        <v>137</v>
      </c>
      <c r="D235" s="19" t="s">
        <v>50</v>
      </c>
      <c r="E235" s="19" t="s">
        <v>232</v>
      </c>
      <c r="F235" s="20">
        <v>42701</v>
      </c>
      <c r="G235" s="11">
        <v>30</v>
      </c>
      <c r="H235" s="13">
        <f t="shared" si="85"/>
        <v>4838.7096774193542</v>
      </c>
      <c r="I235" s="13">
        <f t="shared" si="94"/>
        <v>0</v>
      </c>
      <c r="J235" s="13">
        <f t="shared" si="100"/>
        <v>241.93548387096772</v>
      </c>
      <c r="L235" s="13">
        <f t="shared" si="104"/>
        <v>774.19354838709671</v>
      </c>
      <c r="N235" s="13">
        <f>((1950+1441+1043+814+0)/G$3)*G235</f>
        <v>5078.7096774193542</v>
      </c>
      <c r="O235" s="13">
        <v>0</v>
      </c>
      <c r="Q235" s="13">
        <f t="shared" si="95"/>
        <v>10933.548387096773</v>
      </c>
      <c r="R235" s="12">
        <f t="shared" si="89"/>
        <v>580.64516129032245</v>
      </c>
      <c r="S235" s="12">
        <f t="shared" si="103"/>
        <v>192</v>
      </c>
      <c r="T235" s="21">
        <v>0</v>
      </c>
      <c r="U235" s="13">
        <v>0</v>
      </c>
      <c r="V235" s="13">
        <f t="shared" si="115"/>
        <v>772.64516129032245</v>
      </c>
      <c r="W235" s="13">
        <f t="shared" si="91"/>
        <v>10160.903225806451</v>
      </c>
      <c r="Y235" s="13">
        <f t="shared" si="96"/>
        <v>10160.903225806451</v>
      </c>
      <c r="Z235" s="12">
        <f t="shared" si="112"/>
        <v>636.29032258064512</v>
      </c>
      <c r="AA235" s="12">
        <f t="shared" si="92"/>
        <v>520</v>
      </c>
      <c r="AB235" s="1">
        <f t="shared" si="97"/>
        <v>0</v>
      </c>
      <c r="AC235" s="16">
        <f t="shared" si="116"/>
        <v>1156.2903225806451</v>
      </c>
      <c r="AD235" s="16">
        <f t="shared" si="93"/>
        <v>12089.838709677419</v>
      </c>
    </row>
    <row r="236" spans="1:31" x14ac:dyDescent="0.2">
      <c r="A236" s="10" t="s">
        <v>183</v>
      </c>
      <c r="B236" s="11" t="e">
        <f t="shared" si="98"/>
        <v>#REF!</v>
      </c>
      <c r="C236" s="11" t="s">
        <v>150</v>
      </c>
      <c r="D236" s="19" t="s">
        <v>50</v>
      </c>
      <c r="E236" s="19" t="s">
        <v>234</v>
      </c>
      <c r="F236" s="20">
        <v>42705</v>
      </c>
      <c r="G236" s="11">
        <v>35</v>
      </c>
      <c r="H236" s="13">
        <f t="shared" si="85"/>
        <v>5645.1612903225805</v>
      </c>
      <c r="I236" s="13">
        <f t="shared" si="94"/>
        <v>0</v>
      </c>
      <c r="J236" s="13">
        <f t="shared" si="100"/>
        <v>282.25806451612902</v>
      </c>
      <c r="L236" s="13">
        <f t="shared" si="104"/>
        <v>903.22580645161281</v>
      </c>
      <c r="N236" s="13">
        <f>((1950+1441+1043+814+204)/G$3)*G236</f>
        <v>6155.4838709677424</v>
      </c>
      <c r="O236" s="13">
        <v>0</v>
      </c>
      <c r="Q236" s="13">
        <f t="shared" si="95"/>
        <v>12986.129032258064</v>
      </c>
      <c r="R236" s="12">
        <f t="shared" si="89"/>
        <v>677.41935483870964</v>
      </c>
      <c r="S236" s="12">
        <f t="shared" si="103"/>
        <v>228</v>
      </c>
      <c r="T236" s="21">
        <v>0</v>
      </c>
      <c r="U236" s="13">
        <v>0</v>
      </c>
      <c r="V236" s="13">
        <f t="shared" ref="V236:V243" si="117">SUM(R236:U236)</f>
        <v>905.41935483870964</v>
      </c>
      <c r="W236" s="13">
        <f t="shared" si="91"/>
        <v>12080.709677419354</v>
      </c>
      <c r="Y236" s="13">
        <f t="shared" si="96"/>
        <v>12080.709677419354</v>
      </c>
      <c r="Z236" s="12">
        <f t="shared" si="112"/>
        <v>742.33870967741939</v>
      </c>
      <c r="AA236" s="12">
        <f t="shared" si="92"/>
        <v>617</v>
      </c>
      <c r="AB236" s="1">
        <f t="shared" si="97"/>
        <v>0</v>
      </c>
      <c r="AC236" s="16">
        <f t="shared" ref="AC236:AC243" si="118">SUM(Z236:AB236)</f>
        <v>1359.3387096774195</v>
      </c>
      <c r="AD236" s="16">
        <f t="shared" si="93"/>
        <v>14345.467741935485</v>
      </c>
    </row>
    <row r="237" spans="1:31" x14ac:dyDescent="0.2">
      <c r="A237" s="10" t="s">
        <v>184</v>
      </c>
      <c r="B237" s="11" t="e">
        <f t="shared" si="98"/>
        <v>#REF!</v>
      </c>
      <c r="C237" s="11" t="s">
        <v>151</v>
      </c>
      <c r="D237" s="19" t="s">
        <v>50</v>
      </c>
      <c r="E237" s="19" t="s">
        <v>242</v>
      </c>
      <c r="F237" s="20">
        <v>42705</v>
      </c>
      <c r="G237" s="11">
        <v>27</v>
      </c>
      <c r="H237" s="13">
        <f t="shared" si="85"/>
        <v>4354.8387096774195</v>
      </c>
      <c r="I237" s="13">
        <f t="shared" si="94"/>
        <v>0</v>
      </c>
      <c r="J237" s="13">
        <f t="shared" si="100"/>
        <v>217.74193548387098</v>
      </c>
      <c r="L237" s="13">
        <f t="shared" si="104"/>
        <v>696.77419354838707</v>
      </c>
      <c r="N237" s="13">
        <f>((1950+1441+839+0)/G$3)*G237</f>
        <v>3684.1935483870966</v>
      </c>
      <c r="O237" s="13">
        <v>0</v>
      </c>
      <c r="Q237" s="13">
        <f t="shared" si="95"/>
        <v>8953.5483870967746</v>
      </c>
      <c r="R237" s="12">
        <f t="shared" si="89"/>
        <v>522.58064516129036</v>
      </c>
      <c r="S237" s="12">
        <f t="shared" si="103"/>
        <v>157</v>
      </c>
      <c r="T237" s="21">
        <v>0</v>
      </c>
      <c r="U237" s="13">
        <v>0</v>
      </c>
      <c r="V237" s="13">
        <f t="shared" si="117"/>
        <v>679.58064516129036</v>
      </c>
      <c r="W237" s="13">
        <f t="shared" si="91"/>
        <v>8273.9677419354848</v>
      </c>
      <c r="Y237" s="13">
        <f t="shared" si="96"/>
        <v>8273.9677419354848</v>
      </c>
      <c r="Z237" s="12">
        <f t="shared" si="112"/>
        <v>572.66129032258073</v>
      </c>
      <c r="AA237" s="12">
        <f t="shared" si="92"/>
        <v>426</v>
      </c>
      <c r="AB237" s="1">
        <f t="shared" si="97"/>
        <v>0</v>
      </c>
      <c r="AC237" s="16">
        <f t="shared" si="118"/>
        <v>998.66129032258073</v>
      </c>
      <c r="AD237" s="16">
        <f t="shared" si="93"/>
        <v>9952.209677419356</v>
      </c>
    </row>
    <row r="238" spans="1:31" x14ac:dyDescent="0.2">
      <c r="A238" s="10" t="s">
        <v>185</v>
      </c>
      <c r="B238" s="11" t="e">
        <f t="shared" si="98"/>
        <v>#REF!</v>
      </c>
      <c r="C238" s="11" t="s">
        <v>152</v>
      </c>
      <c r="D238" s="19" t="s">
        <v>50</v>
      </c>
      <c r="E238" s="19" t="s">
        <v>234</v>
      </c>
      <c r="F238" s="20">
        <v>42705</v>
      </c>
      <c r="G238" s="11">
        <v>34</v>
      </c>
      <c r="H238" s="13">
        <f t="shared" si="85"/>
        <v>5483.8709677419356</v>
      </c>
      <c r="I238" s="13">
        <f t="shared" si="94"/>
        <v>0</v>
      </c>
      <c r="J238" s="13">
        <f t="shared" si="100"/>
        <v>274.19354838709677</v>
      </c>
      <c r="L238" s="13">
        <f t="shared" si="104"/>
        <v>877.41935483870964</v>
      </c>
      <c r="N238" s="13">
        <f>((1950+1441+1043+814+0)/G$3)*G238</f>
        <v>5755.8709677419356</v>
      </c>
      <c r="O238" s="13">
        <v>0</v>
      </c>
      <c r="Q238" s="13">
        <f t="shared" si="95"/>
        <v>12391.354838709678</v>
      </c>
      <c r="R238" s="12">
        <f t="shared" si="89"/>
        <v>658.0645161290322</v>
      </c>
      <c r="S238" s="12">
        <f t="shared" si="103"/>
        <v>217</v>
      </c>
      <c r="T238" s="21">
        <v>0</v>
      </c>
      <c r="U238" s="13">
        <v>0</v>
      </c>
      <c r="V238" s="13">
        <f t="shared" si="117"/>
        <v>875.0645161290322</v>
      </c>
      <c r="W238" s="13">
        <f t="shared" si="91"/>
        <v>11516.290322580646</v>
      </c>
      <c r="Y238" s="13">
        <f t="shared" si="96"/>
        <v>11516.290322580646</v>
      </c>
      <c r="Z238" s="12">
        <f t="shared" si="112"/>
        <v>721.12903225806451</v>
      </c>
      <c r="AA238" s="12">
        <f t="shared" si="92"/>
        <v>589</v>
      </c>
      <c r="AB238" s="1">
        <f t="shared" si="97"/>
        <v>0</v>
      </c>
      <c r="AC238" s="16">
        <f t="shared" si="118"/>
        <v>1310.1290322580644</v>
      </c>
      <c r="AD238" s="16">
        <f t="shared" si="93"/>
        <v>13701.483870967742</v>
      </c>
    </row>
    <row r="239" spans="1:31" x14ac:dyDescent="0.2">
      <c r="A239" s="10" t="s">
        <v>186</v>
      </c>
      <c r="B239" s="11" t="e">
        <f t="shared" si="98"/>
        <v>#REF!</v>
      </c>
      <c r="C239" s="11" t="s">
        <v>174</v>
      </c>
      <c r="D239" s="19" t="s">
        <v>50</v>
      </c>
      <c r="E239" s="19" t="s">
        <v>238</v>
      </c>
      <c r="F239" s="20">
        <v>42705</v>
      </c>
      <c r="G239" s="11">
        <v>30</v>
      </c>
      <c r="H239" s="13">
        <f t="shared" si="85"/>
        <v>4838.7096774193542</v>
      </c>
      <c r="I239" s="13">
        <f t="shared" si="94"/>
        <v>0</v>
      </c>
      <c r="J239" s="13">
        <f t="shared" si="100"/>
        <v>241.93548387096772</v>
      </c>
      <c r="L239" s="13">
        <f t="shared" si="104"/>
        <v>774.19354838709671</v>
      </c>
      <c r="N239" s="13">
        <f>((1950+1441+1043+814+0)/G$3)*G239</f>
        <v>5078.7096774193542</v>
      </c>
      <c r="O239" s="13">
        <v>0</v>
      </c>
      <c r="Q239" s="13">
        <f t="shared" si="95"/>
        <v>10933.548387096773</v>
      </c>
      <c r="R239" s="12">
        <f t="shared" si="89"/>
        <v>580.64516129032245</v>
      </c>
      <c r="S239" s="12">
        <f t="shared" si="103"/>
        <v>192</v>
      </c>
      <c r="T239" s="21">
        <v>0</v>
      </c>
      <c r="U239" s="13">
        <v>0</v>
      </c>
      <c r="V239" s="13">
        <f t="shared" si="117"/>
        <v>772.64516129032245</v>
      </c>
      <c r="W239" s="13">
        <f t="shared" si="91"/>
        <v>10160.903225806451</v>
      </c>
      <c r="Y239" s="13">
        <f t="shared" si="96"/>
        <v>10160.903225806451</v>
      </c>
      <c r="Z239" s="12">
        <f t="shared" si="112"/>
        <v>636.29032258064512</v>
      </c>
      <c r="AA239" s="12">
        <f t="shared" si="92"/>
        <v>520</v>
      </c>
      <c r="AB239" s="1">
        <f t="shared" si="97"/>
        <v>0</v>
      </c>
      <c r="AC239" s="16">
        <f t="shared" si="118"/>
        <v>1156.2903225806451</v>
      </c>
      <c r="AD239" s="16">
        <f t="shared" si="93"/>
        <v>12089.838709677419</v>
      </c>
    </row>
    <row r="240" spans="1:31" x14ac:dyDescent="0.2">
      <c r="A240" s="10" t="s">
        <v>187</v>
      </c>
      <c r="B240" s="11" t="e">
        <f t="shared" si="98"/>
        <v>#REF!</v>
      </c>
      <c r="C240" s="11" t="s">
        <v>430</v>
      </c>
      <c r="D240" s="19" t="s">
        <v>50</v>
      </c>
      <c r="E240" s="19" t="s">
        <v>234</v>
      </c>
      <c r="F240" s="20">
        <v>42705</v>
      </c>
      <c r="G240" s="11">
        <v>31</v>
      </c>
      <c r="H240" s="13">
        <f t="shared" si="85"/>
        <v>5000</v>
      </c>
      <c r="I240" s="13">
        <f t="shared" si="94"/>
        <v>0</v>
      </c>
      <c r="J240" s="13">
        <f t="shared" si="100"/>
        <v>250</v>
      </c>
      <c r="L240" s="13">
        <f t="shared" si="104"/>
        <v>800</v>
      </c>
      <c r="N240" s="13">
        <f>((1950+1441+1043+2417)/G$3)*G240</f>
        <v>6851</v>
      </c>
      <c r="O240" s="13">
        <v>0</v>
      </c>
      <c r="Q240" s="13">
        <f t="shared" si="95"/>
        <v>12901</v>
      </c>
      <c r="R240" s="12">
        <f t="shared" si="89"/>
        <v>600</v>
      </c>
      <c r="S240" s="12">
        <f t="shared" si="103"/>
        <v>226</v>
      </c>
      <c r="T240" s="21">
        <v>0</v>
      </c>
      <c r="U240" s="13">
        <v>0</v>
      </c>
      <c r="V240" s="13">
        <f t="shared" si="117"/>
        <v>826</v>
      </c>
      <c r="W240" s="13">
        <f t="shared" si="91"/>
        <v>12075</v>
      </c>
      <c r="Y240" s="13">
        <f t="shared" si="96"/>
        <v>12075</v>
      </c>
      <c r="Z240" s="12">
        <f t="shared" si="112"/>
        <v>657.5</v>
      </c>
      <c r="AA240" s="12">
        <f t="shared" si="92"/>
        <v>613</v>
      </c>
      <c r="AB240" s="1">
        <f t="shared" si="97"/>
        <v>0</v>
      </c>
      <c r="AC240" s="16">
        <f t="shared" si="118"/>
        <v>1270.5</v>
      </c>
      <c r="AD240" s="16">
        <f t="shared" si="93"/>
        <v>14171.5</v>
      </c>
    </row>
    <row r="241" spans="1:30" x14ac:dyDescent="0.2">
      <c r="A241" s="10" t="s">
        <v>188</v>
      </c>
      <c r="B241" s="11" t="e">
        <f t="shared" si="98"/>
        <v>#REF!</v>
      </c>
      <c r="C241" s="11" t="s">
        <v>153</v>
      </c>
      <c r="D241" s="19" t="s">
        <v>50</v>
      </c>
      <c r="E241" s="19" t="s">
        <v>232</v>
      </c>
      <c r="F241" s="20">
        <v>42705</v>
      </c>
      <c r="G241" s="11">
        <v>29</v>
      </c>
      <c r="H241" s="13">
        <f t="shared" si="85"/>
        <v>4677.4193548387093</v>
      </c>
      <c r="I241" s="13">
        <f t="shared" si="94"/>
        <v>0</v>
      </c>
      <c r="J241" s="13">
        <f t="shared" si="100"/>
        <v>233.87096774193549</v>
      </c>
      <c r="L241" s="13">
        <f t="shared" si="104"/>
        <v>748.38709677419354</v>
      </c>
      <c r="N241" s="13">
        <f>((1950+1441+1043+814+0)/G$3)*G241</f>
        <v>4909.4193548387093</v>
      </c>
      <c r="O241" s="13">
        <v>0</v>
      </c>
      <c r="Q241" s="13">
        <f t="shared" si="95"/>
        <v>10569.096774193547</v>
      </c>
      <c r="R241" s="12">
        <f t="shared" si="89"/>
        <v>561.29032258064512</v>
      </c>
      <c r="S241" s="12">
        <f t="shared" si="103"/>
        <v>185</v>
      </c>
      <c r="T241" s="21">
        <v>0</v>
      </c>
      <c r="U241" s="13">
        <v>0</v>
      </c>
      <c r="V241" s="13">
        <f t="shared" si="117"/>
        <v>746.29032258064512</v>
      </c>
      <c r="W241" s="13">
        <f t="shared" si="91"/>
        <v>9822.8064516129016</v>
      </c>
      <c r="Y241" s="13">
        <f t="shared" si="96"/>
        <v>9822.8064516129016</v>
      </c>
      <c r="Z241" s="12">
        <f t="shared" si="112"/>
        <v>615.08064516129025</v>
      </c>
      <c r="AA241" s="12">
        <f t="shared" si="92"/>
        <v>503</v>
      </c>
      <c r="AB241" s="1">
        <f t="shared" si="97"/>
        <v>0</v>
      </c>
      <c r="AC241" s="16">
        <f t="shared" si="118"/>
        <v>1118.0806451612902</v>
      </c>
      <c r="AD241" s="16">
        <f t="shared" si="93"/>
        <v>11687.177419354837</v>
      </c>
    </row>
    <row r="242" spans="1:30" x14ac:dyDescent="0.2">
      <c r="A242" s="10" t="s">
        <v>189</v>
      </c>
      <c r="B242" s="11" t="e">
        <f t="shared" si="98"/>
        <v>#REF!</v>
      </c>
      <c r="C242" s="11" t="s">
        <v>488</v>
      </c>
      <c r="D242" s="19" t="s">
        <v>50</v>
      </c>
      <c r="E242" s="19" t="s">
        <v>237</v>
      </c>
      <c r="F242" s="20">
        <v>42705</v>
      </c>
      <c r="G242" s="11">
        <v>31</v>
      </c>
      <c r="H242" s="13">
        <f t="shared" si="85"/>
        <v>5000</v>
      </c>
      <c r="I242" s="13">
        <f t="shared" si="94"/>
        <v>0</v>
      </c>
      <c r="J242" s="13">
        <f t="shared" si="100"/>
        <v>250</v>
      </c>
      <c r="L242" s="13">
        <f t="shared" si="104"/>
        <v>800</v>
      </c>
      <c r="N242" s="13">
        <f>((1950+1441+2061+1323+0)/G$3)*G242</f>
        <v>6775</v>
      </c>
      <c r="O242" s="13">
        <v>0</v>
      </c>
      <c r="Q242" s="13">
        <f t="shared" si="95"/>
        <v>12825</v>
      </c>
      <c r="R242" s="12">
        <f t="shared" si="89"/>
        <v>600</v>
      </c>
      <c r="S242" s="12">
        <f t="shared" si="103"/>
        <v>225</v>
      </c>
      <c r="T242" s="21">
        <v>0</v>
      </c>
      <c r="U242" s="13">
        <v>0</v>
      </c>
      <c r="V242" s="13">
        <f t="shared" si="117"/>
        <v>825</v>
      </c>
      <c r="W242" s="13">
        <f t="shared" si="91"/>
        <v>12000</v>
      </c>
      <c r="Y242" s="13">
        <f t="shared" si="96"/>
        <v>12000</v>
      </c>
      <c r="Z242" s="12">
        <f t="shared" si="112"/>
        <v>657.5</v>
      </c>
      <c r="AA242" s="12">
        <f t="shared" si="92"/>
        <v>610</v>
      </c>
      <c r="AB242" s="1">
        <f t="shared" si="97"/>
        <v>0</v>
      </c>
      <c r="AC242" s="16">
        <f t="shared" si="118"/>
        <v>1267.5</v>
      </c>
      <c r="AD242" s="16">
        <f t="shared" si="93"/>
        <v>14092.5</v>
      </c>
    </row>
    <row r="243" spans="1:30" x14ac:dyDescent="0.2">
      <c r="A243" s="10" t="s">
        <v>190</v>
      </c>
      <c r="B243" s="11" t="e">
        <f t="shared" si="98"/>
        <v>#REF!</v>
      </c>
      <c r="C243" s="11" t="s">
        <v>154</v>
      </c>
      <c r="D243" s="19" t="s">
        <v>50</v>
      </c>
      <c r="E243" s="19" t="s">
        <v>484</v>
      </c>
      <c r="F243" s="20">
        <v>42705</v>
      </c>
      <c r="G243" s="11">
        <v>33</v>
      </c>
      <c r="H243" s="13">
        <f t="shared" si="85"/>
        <v>5322.5806451612898</v>
      </c>
      <c r="I243" s="13">
        <f t="shared" si="94"/>
        <v>0</v>
      </c>
      <c r="J243" s="13">
        <f t="shared" si="100"/>
        <v>266.12903225806451</v>
      </c>
      <c r="L243" s="13">
        <f t="shared" si="104"/>
        <v>851.61290322580635</v>
      </c>
      <c r="N243" s="13">
        <f>((1950+1441+839+0)/G$3)*G243</f>
        <v>4502.9032258064508</v>
      </c>
      <c r="O243" s="13">
        <v>0</v>
      </c>
      <c r="Q243" s="13">
        <f t="shared" si="95"/>
        <v>10943.225806451612</v>
      </c>
      <c r="R243" s="12">
        <f t="shared" si="89"/>
        <v>638.70967741935476</v>
      </c>
      <c r="S243" s="12">
        <f t="shared" si="103"/>
        <v>192</v>
      </c>
      <c r="T243" s="21">
        <v>0</v>
      </c>
      <c r="U243" s="13">
        <v>0</v>
      </c>
      <c r="V243" s="13">
        <f t="shared" si="117"/>
        <v>830.70967741935476</v>
      </c>
      <c r="W243" s="13">
        <f t="shared" si="91"/>
        <v>10112.516129032258</v>
      </c>
      <c r="Y243" s="13">
        <f t="shared" si="96"/>
        <v>10112.516129032258</v>
      </c>
      <c r="Z243" s="12">
        <f t="shared" si="112"/>
        <v>699.91935483870964</v>
      </c>
      <c r="AA243" s="12">
        <f t="shared" si="92"/>
        <v>520</v>
      </c>
      <c r="AB243" s="1">
        <f t="shared" si="97"/>
        <v>0</v>
      </c>
      <c r="AC243" s="16">
        <f t="shared" si="118"/>
        <v>1219.9193548387098</v>
      </c>
      <c r="AD243" s="16">
        <f t="shared" si="93"/>
        <v>12163.145161290322</v>
      </c>
    </row>
    <row r="244" spans="1:30" x14ac:dyDescent="0.2">
      <c r="A244" s="10" t="s">
        <v>225</v>
      </c>
      <c r="B244" s="11" t="e">
        <f t="shared" si="98"/>
        <v>#REF!</v>
      </c>
      <c r="C244" s="11" t="s">
        <v>175</v>
      </c>
      <c r="D244" s="19" t="s">
        <v>50</v>
      </c>
      <c r="E244" s="19" t="s">
        <v>239</v>
      </c>
      <c r="F244" s="20">
        <v>42736</v>
      </c>
      <c r="G244" s="11">
        <v>4</v>
      </c>
      <c r="H244" s="13">
        <f t="shared" si="85"/>
        <v>645.16129032258061</v>
      </c>
      <c r="I244" s="13">
        <f t="shared" si="94"/>
        <v>0</v>
      </c>
      <c r="J244" s="13">
        <f t="shared" si="100"/>
        <v>32.258064516129032</v>
      </c>
      <c r="L244" s="13">
        <f t="shared" si="104"/>
        <v>103.2258064516129</v>
      </c>
      <c r="N244" s="13">
        <f>((1950+1441+839+0)/G$3)*G244</f>
        <v>545.80645161290317</v>
      </c>
      <c r="O244" s="13">
        <v>0</v>
      </c>
      <c r="Q244" s="13">
        <f t="shared" si="95"/>
        <v>1326.4516129032259</v>
      </c>
      <c r="R244" s="12">
        <f t="shared" si="89"/>
        <v>77.419354838709666</v>
      </c>
      <c r="S244" s="12">
        <f t="shared" si="103"/>
        <v>24</v>
      </c>
      <c r="T244" s="21">
        <v>0</v>
      </c>
      <c r="U244" s="13">
        <v>0</v>
      </c>
      <c r="V244" s="13">
        <f t="shared" ref="V244:V246" si="119">SUM(R244:U244)</f>
        <v>101.41935483870967</v>
      </c>
      <c r="W244" s="13">
        <f t="shared" si="91"/>
        <v>1225.0322580645161</v>
      </c>
      <c r="Y244" s="13">
        <f t="shared" si="96"/>
        <v>1225.0322580645161</v>
      </c>
      <c r="Z244" s="12">
        <f t="shared" si="112"/>
        <v>84.838709677419359</v>
      </c>
      <c r="AA244" s="12">
        <f t="shared" si="92"/>
        <v>64</v>
      </c>
      <c r="AB244" s="1">
        <f t="shared" si="97"/>
        <v>0</v>
      </c>
      <c r="AC244" s="16">
        <f t="shared" ref="AC244:AC246" si="120">SUM(Z244:AB244)</f>
        <v>148.83870967741936</v>
      </c>
      <c r="AD244" s="16">
        <f t="shared" si="93"/>
        <v>1475.2903225806451</v>
      </c>
    </row>
    <row r="245" spans="1:30" x14ac:dyDescent="0.2">
      <c r="A245" s="10" t="s">
        <v>226</v>
      </c>
      <c r="B245" s="11" t="e">
        <f t="shared" si="98"/>
        <v>#REF!</v>
      </c>
      <c r="C245" s="11" t="s">
        <v>176</v>
      </c>
      <c r="D245" s="19" t="s">
        <v>50</v>
      </c>
      <c r="E245" s="19" t="s">
        <v>239</v>
      </c>
      <c r="F245" s="20">
        <v>42736</v>
      </c>
      <c r="G245" s="11">
        <v>37</v>
      </c>
      <c r="H245" s="13">
        <f t="shared" si="85"/>
        <v>5967.7419354838703</v>
      </c>
      <c r="I245" s="13">
        <f t="shared" si="94"/>
        <v>0</v>
      </c>
      <c r="J245" s="13">
        <f t="shared" si="100"/>
        <v>298.38709677419354</v>
      </c>
      <c r="L245" s="13">
        <f t="shared" si="104"/>
        <v>954.83870967741927</v>
      </c>
      <c r="N245" s="13">
        <f>((1950+1441+839+0)/G$3)*G245</f>
        <v>5048.7096774193542</v>
      </c>
      <c r="O245" s="13">
        <v>0</v>
      </c>
      <c r="Q245" s="13">
        <f t="shared" si="95"/>
        <v>12269.677419354837</v>
      </c>
      <c r="R245" s="12">
        <f t="shared" si="89"/>
        <v>716.1290322580644</v>
      </c>
      <c r="S245" s="12">
        <f t="shared" si="103"/>
        <v>215</v>
      </c>
      <c r="T245" s="21">
        <v>0</v>
      </c>
      <c r="U245" s="13">
        <v>0</v>
      </c>
      <c r="V245" s="13">
        <f t="shared" si="119"/>
        <v>931.1290322580644</v>
      </c>
      <c r="W245" s="13">
        <f t="shared" si="91"/>
        <v>11338.548387096773</v>
      </c>
      <c r="Y245" s="13">
        <f t="shared" si="96"/>
        <v>11338.548387096773</v>
      </c>
      <c r="Z245" s="12">
        <f t="shared" si="112"/>
        <v>784.75806451612902</v>
      </c>
      <c r="AA245" s="12">
        <f t="shared" si="92"/>
        <v>583</v>
      </c>
      <c r="AB245" s="1">
        <f t="shared" si="97"/>
        <v>0</v>
      </c>
      <c r="AC245" s="16">
        <f t="shared" si="120"/>
        <v>1367.758064516129</v>
      </c>
      <c r="AD245" s="16">
        <f t="shared" si="93"/>
        <v>13637.435483870966</v>
      </c>
    </row>
    <row r="246" spans="1:30" x14ac:dyDescent="0.2">
      <c r="A246" s="10" t="s">
        <v>229</v>
      </c>
      <c r="B246" s="11" t="e">
        <f>#REF!+1</f>
        <v>#REF!</v>
      </c>
      <c r="C246" s="11" t="s">
        <v>199</v>
      </c>
      <c r="D246" s="19" t="s">
        <v>50</v>
      </c>
      <c r="E246" s="19" t="s">
        <v>240</v>
      </c>
      <c r="F246" s="20">
        <v>42736</v>
      </c>
      <c r="G246" s="11">
        <v>27</v>
      </c>
      <c r="H246" s="13">
        <f t="shared" si="85"/>
        <v>4354.8387096774195</v>
      </c>
      <c r="I246" s="13">
        <f t="shared" si="94"/>
        <v>0</v>
      </c>
      <c r="J246" s="13">
        <f t="shared" si="100"/>
        <v>217.74193548387098</v>
      </c>
      <c r="L246" s="13">
        <f t="shared" si="104"/>
        <v>696.77419354838707</v>
      </c>
      <c r="N246" s="13">
        <f>((6979+814+0)/G$3)*G246</f>
        <v>6787.4516129032254</v>
      </c>
      <c r="O246" s="13">
        <v>0</v>
      </c>
      <c r="Q246" s="13">
        <f t="shared" si="95"/>
        <v>12056.806451612903</v>
      </c>
      <c r="R246" s="12">
        <f t="shared" si="89"/>
        <v>522.58064516129036</v>
      </c>
      <c r="S246" s="12">
        <f t="shared" si="103"/>
        <v>211</v>
      </c>
      <c r="T246" s="21">
        <v>0</v>
      </c>
      <c r="U246" s="13">
        <v>0</v>
      </c>
      <c r="V246" s="13">
        <f t="shared" si="119"/>
        <v>733.58064516129036</v>
      </c>
      <c r="W246" s="13">
        <f t="shared" si="91"/>
        <v>11323.225806451614</v>
      </c>
      <c r="Y246" s="13">
        <f t="shared" si="96"/>
        <v>11323.225806451614</v>
      </c>
      <c r="Z246" s="12">
        <f t="shared" si="112"/>
        <v>572.66129032258073</v>
      </c>
      <c r="AA246" s="12">
        <f t="shared" si="92"/>
        <v>573</v>
      </c>
      <c r="AB246" s="1">
        <f t="shared" si="97"/>
        <v>0</v>
      </c>
      <c r="AC246" s="16">
        <f t="shared" si="120"/>
        <v>1145.6612903225807</v>
      </c>
      <c r="AD246" s="16">
        <f t="shared" si="93"/>
        <v>13202.467741935485</v>
      </c>
    </row>
    <row r="247" spans="1:30" x14ac:dyDescent="0.2">
      <c r="A247" s="10" t="s">
        <v>219</v>
      </c>
      <c r="B247" s="11" t="e">
        <f t="shared" si="98"/>
        <v>#REF!</v>
      </c>
      <c r="C247" s="11" t="s">
        <v>220</v>
      </c>
      <c r="D247" s="19" t="s">
        <v>50</v>
      </c>
      <c r="E247" s="19" t="s">
        <v>234</v>
      </c>
      <c r="F247" s="20">
        <v>42767</v>
      </c>
      <c r="G247" s="11">
        <v>28</v>
      </c>
      <c r="H247" s="13">
        <f t="shared" si="85"/>
        <v>4516.1290322580644</v>
      </c>
      <c r="I247" s="13">
        <f t="shared" si="94"/>
        <v>0</v>
      </c>
      <c r="J247" s="13">
        <f t="shared" si="100"/>
        <v>225.80645161290323</v>
      </c>
      <c r="L247" s="13">
        <f t="shared" si="104"/>
        <v>722.58064516129025</v>
      </c>
      <c r="N247" s="13">
        <f>((5197+1120)/G$3)*G247</f>
        <v>5705.677419354839</v>
      </c>
      <c r="O247" s="13">
        <v>0</v>
      </c>
      <c r="Q247" s="13">
        <f t="shared" si="95"/>
        <v>11170.193548387097</v>
      </c>
      <c r="R247" s="12">
        <f t="shared" si="89"/>
        <v>541.93548387096769</v>
      </c>
      <c r="S247" s="12">
        <f t="shared" si="103"/>
        <v>196</v>
      </c>
      <c r="T247" s="21">
        <v>0</v>
      </c>
      <c r="U247" s="13">
        <v>0</v>
      </c>
      <c r="V247" s="13">
        <f t="shared" ref="V247:V262" si="121">SUM(R247:U247)</f>
        <v>737.93548387096769</v>
      </c>
      <c r="W247" s="13">
        <f t="shared" si="91"/>
        <v>10432.258064516129</v>
      </c>
      <c r="Y247" s="13">
        <f t="shared" si="96"/>
        <v>10432.258064516129</v>
      </c>
      <c r="Z247" s="12">
        <f t="shared" si="112"/>
        <v>593.87096774193549</v>
      </c>
      <c r="AA247" s="12">
        <f t="shared" si="92"/>
        <v>531</v>
      </c>
      <c r="AB247" s="1">
        <f t="shared" si="97"/>
        <v>0</v>
      </c>
      <c r="AC247" s="16">
        <f t="shared" ref="AC247:AC262" si="122">SUM(Z247:AB247)</f>
        <v>1124.8709677419356</v>
      </c>
      <c r="AD247" s="16">
        <f t="shared" si="93"/>
        <v>12295.064516129032</v>
      </c>
    </row>
    <row r="248" spans="1:30" x14ac:dyDescent="0.2">
      <c r="A248" s="10" t="s">
        <v>82</v>
      </c>
      <c r="B248" s="11" t="e">
        <f t="shared" si="98"/>
        <v>#REF!</v>
      </c>
      <c r="C248" s="11" t="s">
        <v>34</v>
      </c>
      <c r="D248" s="19" t="s">
        <v>50</v>
      </c>
      <c r="E248" s="19" t="s">
        <v>240</v>
      </c>
      <c r="F248" s="20">
        <v>42767</v>
      </c>
      <c r="G248" s="11">
        <v>35</v>
      </c>
      <c r="H248" s="13">
        <f t="shared" si="85"/>
        <v>5645.1612903225805</v>
      </c>
      <c r="I248" s="13">
        <f t="shared" si="94"/>
        <v>0</v>
      </c>
      <c r="J248" s="13">
        <f t="shared" si="100"/>
        <v>282.25806451612902</v>
      </c>
      <c r="L248" s="13">
        <f t="shared" si="104"/>
        <v>903.22580645161281</v>
      </c>
      <c r="N248" s="13">
        <f>((1950+1441+3588+3328)/G$3)*G248</f>
        <v>11636.935483870968</v>
      </c>
      <c r="O248" s="13">
        <v>0</v>
      </c>
      <c r="Q248" s="13">
        <f t="shared" si="95"/>
        <v>18467.580645161288</v>
      </c>
      <c r="R248" s="12">
        <f t="shared" si="89"/>
        <v>677.41935483870964</v>
      </c>
      <c r="S248" s="12">
        <f t="shared" si="103"/>
        <v>324</v>
      </c>
      <c r="T248" s="21">
        <v>0</v>
      </c>
      <c r="U248" s="13">
        <v>0</v>
      </c>
      <c r="V248" s="13">
        <f t="shared" si="121"/>
        <v>1001.4193548387096</v>
      </c>
      <c r="W248" s="13">
        <f t="shared" si="91"/>
        <v>17466.16129032258</v>
      </c>
      <c r="Y248" s="13">
        <f t="shared" si="96"/>
        <v>17466.16129032258</v>
      </c>
      <c r="Z248" s="12">
        <f t="shared" si="112"/>
        <v>742.33870967741939</v>
      </c>
      <c r="AA248" s="12">
        <f t="shared" si="92"/>
        <v>878</v>
      </c>
      <c r="AB248" s="1">
        <f t="shared" si="97"/>
        <v>0</v>
      </c>
      <c r="AC248" s="16">
        <f t="shared" si="122"/>
        <v>1620.3387096774195</v>
      </c>
      <c r="AD248" s="16">
        <f t="shared" si="93"/>
        <v>20087.919354838708</v>
      </c>
    </row>
    <row r="249" spans="1:30" x14ac:dyDescent="0.2">
      <c r="A249" s="10" t="s">
        <v>267</v>
      </c>
      <c r="B249" s="11" t="e">
        <f t="shared" si="98"/>
        <v>#REF!</v>
      </c>
      <c r="C249" s="11" t="s">
        <v>204</v>
      </c>
      <c r="D249" s="19" t="s">
        <v>50</v>
      </c>
      <c r="E249" s="19" t="s">
        <v>240</v>
      </c>
      <c r="F249" s="20">
        <v>42767</v>
      </c>
      <c r="G249" s="11">
        <v>14</v>
      </c>
      <c r="H249" s="13">
        <f t="shared" si="85"/>
        <v>2258.0645161290322</v>
      </c>
      <c r="I249" s="13">
        <f t="shared" si="94"/>
        <v>0</v>
      </c>
      <c r="J249" s="13">
        <f t="shared" si="100"/>
        <v>112.90322580645162</v>
      </c>
      <c r="L249" s="13">
        <f t="shared" si="104"/>
        <v>361.29032258064512</v>
      </c>
      <c r="N249" s="13">
        <f>((1950+1441+839+0)/G$3)*G249</f>
        <v>1910.322580645161</v>
      </c>
      <c r="O249" s="13">
        <v>0</v>
      </c>
      <c r="Q249" s="13">
        <f t="shared" si="95"/>
        <v>4642.5806451612898</v>
      </c>
      <c r="R249" s="12">
        <f t="shared" si="89"/>
        <v>270.96774193548384</v>
      </c>
      <c r="S249" s="12">
        <f t="shared" si="103"/>
        <v>82</v>
      </c>
      <c r="T249" s="21">
        <v>0</v>
      </c>
      <c r="U249" s="13">
        <v>0</v>
      </c>
      <c r="V249" s="13">
        <f t="shared" si="121"/>
        <v>352.96774193548384</v>
      </c>
      <c r="W249" s="13">
        <f t="shared" si="91"/>
        <v>4289.6129032258059</v>
      </c>
      <c r="Y249" s="13">
        <f t="shared" si="96"/>
        <v>4289.6129032258059</v>
      </c>
      <c r="Z249" s="12">
        <f t="shared" si="112"/>
        <v>296.93548387096774</v>
      </c>
      <c r="AA249" s="12">
        <f t="shared" si="92"/>
        <v>221</v>
      </c>
      <c r="AB249" s="1">
        <f t="shared" si="97"/>
        <v>0</v>
      </c>
      <c r="AC249" s="16">
        <f t="shared" si="122"/>
        <v>517.9354838709678</v>
      </c>
      <c r="AD249" s="16">
        <f t="shared" si="93"/>
        <v>5160.5161290322576</v>
      </c>
    </row>
    <row r="250" spans="1:30" x14ac:dyDescent="0.2">
      <c r="A250" s="10" t="s">
        <v>268</v>
      </c>
      <c r="B250" s="11" t="e">
        <f t="shared" si="98"/>
        <v>#REF!</v>
      </c>
      <c r="C250" s="11" t="s">
        <v>205</v>
      </c>
      <c r="D250" s="19" t="s">
        <v>50</v>
      </c>
      <c r="E250" s="19" t="s">
        <v>240</v>
      </c>
      <c r="F250" s="20">
        <v>42767</v>
      </c>
      <c r="G250" s="11">
        <v>37</v>
      </c>
      <c r="H250" s="13">
        <f t="shared" si="85"/>
        <v>5967.7419354838703</v>
      </c>
      <c r="I250" s="13">
        <f t="shared" si="94"/>
        <v>0</v>
      </c>
      <c r="J250" s="13">
        <f t="shared" si="100"/>
        <v>298.38709677419354</v>
      </c>
      <c r="L250" s="13">
        <f t="shared" si="104"/>
        <v>954.83870967741927</v>
      </c>
      <c r="N250" s="13">
        <f>((1950+1441+839+0)/G$3)*G250</f>
        <v>5048.7096774193542</v>
      </c>
      <c r="O250" s="13">
        <v>0</v>
      </c>
      <c r="Q250" s="13">
        <f t="shared" si="95"/>
        <v>12269.677419354837</v>
      </c>
      <c r="R250" s="12">
        <f t="shared" si="89"/>
        <v>716.1290322580644</v>
      </c>
      <c r="S250" s="12">
        <f t="shared" si="103"/>
        <v>215</v>
      </c>
      <c r="T250" s="21">
        <v>0</v>
      </c>
      <c r="U250" s="13">
        <v>0</v>
      </c>
      <c r="V250" s="13">
        <f t="shared" si="121"/>
        <v>931.1290322580644</v>
      </c>
      <c r="W250" s="13">
        <f t="shared" si="91"/>
        <v>11338.548387096773</v>
      </c>
      <c r="Y250" s="13">
        <f t="shared" si="96"/>
        <v>11338.548387096773</v>
      </c>
      <c r="Z250" s="12">
        <f t="shared" si="112"/>
        <v>784.75806451612902</v>
      </c>
      <c r="AA250" s="12">
        <f t="shared" si="92"/>
        <v>583</v>
      </c>
      <c r="AB250" s="1">
        <f t="shared" si="97"/>
        <v>0</v>
      </c>
      <c r="AC250" s="16">
        <f t="shared" si="122"/>
        <v>1367.758064516129</v>
      </c>
      <c r="AD250" s="16">
        <f t="shared" si="93"/>
        <v>13637.435483870966</v>
      </c>
    </row>
    <row r="251" spans="1:30" x14ac:dyDescent="0.2">
      <c r="A251" s="10" t="s">
        <v>269</v>
      </c>
      <c r="B251" s="11" t="e">
        <f t="shared" si="98"/>
        <v>#REF!</v>
      </c>
      <c r="C251" s="11" t="s">
        <v>206</v>
      </c>
      <c r="D251" s="19" t="s">
        <v>50</v>
      </c>
      <c r="E251" s="19" t="s">
        <v>238</v>
      </c>
      <c r="F251" s="20">
        <v>42767</v>
      </c>
      <c r="G251" s="11">
        <v>21</v>
      </c>
      <c r="H251" s="13">
        <f t="shared" si="85"/>
        <v>3387.0967741935483</v>
      </c>
      <c r="I251" s="13">
        <f t="shared" si="94"/>
        <v>0</v>
      </c>
      <c r="J251" s="13">
        <f t="shared" si="100"/>
        <v>169.35483870967744</v>
      </c>
      <c r="L251" s="13">
        <f t="shared" si="104"/>
        <v>541.93548387096769</v>
      </c>
      <c r="N251" s="13">
        <f>((1950+1441+1043+814+0)/G$3)*G251</f>
        <v>3555.0967741935483</v>
      </c>
      <c r="O251" s="13">
        <v>0</v>
      </c>
      <c r="Q251" s="13">
        <f t="shared" si="95"/>
        <v>7653.4838709677415</v>
      </c>
      <c r="R251" s="12">
        <f t="shared" si="89"/>
        <v>406.45161290322579</v>
      </c>
      <c r="S251" s="12">
        <f t="shared" si="103"/>
        <v>134</v>
      </c>
      <c r="T251" s="21">
        <v>0</v>
      </c>
      <c r="U251" s="13">
        <v>0</v>
      </c>
      <c r="V251" s="13">
        <f t="shared" si="121"/>
        <v>540.45161290322585</v>
      </c>
      <c r="W251" s="13">
        <f t="shared" si="91"/>
        <v>7113.0322580645152</v>
      </c>
      <c r="Y251" s="13">
        <f t="shared" si="96"/>
        <v>7113.0322580645152</v>
      </c>
      <c r="Z251" s="12">
        <f t="shared" si="112"/>
        <v>445.40322580645164</v>
      </c>
      <c r="AA251" s="12">
        <f t="shared" si="92"/>
        <v>364</v>
      </c>
      <c r="AB251" s="1">
        <f t="shared" si="97"/>
        <v>0</v>
      </c>
      <c r="AC251" s="16">
        <f t="shared" si="122"/>
        <v>809.4032258064517</v>
      </c>
      <c r="AD251" s="16">
        <f t="shared" si="93"/>
        <v>8462.8870967741932</v>
      </c>
    </row>
    <row r="252" spans="1:30" x14ac:dyDescent="0.2">
      <c r="A252" s="10" t="s">
        <v>270</v>
      </c>
      <c r="B252" s="11" t="e">
        <f t="shared" si="98"/>
        <v>#REF!</v>
      </c>
      <c r="C252" s="11" t="s">
        <v>207</v>
      </c>
      <c r="D252" s="19" t="s">
        <v>50</v>
      </c>
      <c r="E252" s="19" t="s">
        <v>238</v>
      </c>
      <c r="F252" s="20">
        <v>42767</v>
      </c>
      <c r="G252" s="11">
        <v>28</v>
      </c>
      <c r="H252" s="13">
        <f t="shared" si="85"/>
        <v>4516.1290322580644</v>
      </c>
      <c r="I252" s="13">
        <f t="shared" si="94"/>
        <v>0</v>
      </c>
      <c r="J252" s="13">
        <f t="shared" si="100"/>
        <v>225.80645161290323</v>
      </c>
      <c r="L252" s="13">
        <f t="shared" si="104"/>
        <v>722.58064516129025</v>
      </c>
      <c r="N252" s="13">
        <f>((1950+1441+1043+814+0)/G$3)*G252</f>
        <v>4740.1290322580644</v>
      </c>
      <c r="O252" s="13">
        <v>0</v>
      </c>
      <c r="Q252" s="13">
        <f t="shared" si="95"/>
        <v>10204.645161290322</v>
      </c>
      <c r="R252" s="12">
        <f t="shared" si="89"/>
        <v>541.93548387096769</v>
      </c>
      <c r="S252" s="12">
        <f t="shared" si="103"/>
        <v>179</v>
      </c>
      <c r="T252" s="21">
        <v>0</v>
      </c>
      <c r="U252" s="13">
        <v>0</v>
      </c>
      <c r="V252" s="13">
        <f t="shared" si="121"/>
        <v>720.93548387096769</v>
      </c>
      <c r="W252" s="13">
        <f t="shared" si="91"/>
        <v>9483.7096774193542</v>
      </c>
      <c r="Y252" s="13">
        <f t="shared" si="96"/>
        <v>9483.7096774193542</v>
      </c>
      <c r="Z252" s="12">
        <f t="shared" si="112"/>
        <v>593.87096774193549</v>
      </c>
      <c r="AA252" s="12">
        <f t="shared" si="92"/>
        <v>485</v>
      </c>
      <c r="AB252" s="1">
        <f t="shared" si="97"/>
        <v>0</v>
      </c>
      <c r="AC252" s="16">
        <f t="shared" si="122"/>
        <v>1078.8709677419356</v>
      </c>
      <c r="AD252" s="16">
        <f t="shared" si="93"/>
        <v>11283.516129032258</v>
      </c>
    </row>
    <row r="253" spans="1:30" x14ac:dyDescent="0.2">
      <c r="A253" s="10" t="s">
        <v>271</v>
      </c>
      <c r="B253" s="11" t="e">
        <f t="shared" si="98"/>
        <v>#REF!</v>
      </c>
      <c r="C253" s="11" t="s">
        <v>208</v>
      </c>
      <c r="D253" s="19" t="s">
        <v>50</v>
      </c>
      <c r="E253" s="19" t="s">
        <v>242</v>
      </c>
      <c r="F253" s="20">
        <v>42767</v>
      </c>
      <c r="G253" s="11">
        <v>36</v>
      </c>
      <c r="H253" s="13">
        <f t="shared" ref="H253:H316" si="123">(5000/G$3)*G253</f>
        <v>5806.4516129032254</v>
      </c>
      <c r="I253" s="13">
        <f t="shared" si="94"/>
        <v>0</v>
      </c>
      <c r="J253" s="13">
        <f t="shared" si="100"/>
        <v>290.32258064516128</v>
      </c>
      <c r="L253" s="13">
        <f t="shared" si="104"/>
        <v>929.0322580645161</v>
      </c>
      <c r="N253" s="13">
        <f>((1950+1441+839+0)/G$3)*G253</f>
        <v>4912.2580645161288</v>
      </c>
      <c r="O253" s="13">
        <v>0</v>
      </c>
      <c r="Q253" s="13">
        <f t="shared" si="95"/>
        <v>11938.06451612903</v>
      </c>
      <c r="R253" s="12">
        <f t="shared" si="89"/>
        <v>696.77419354838707</v>
      </c>
      <c r="S253" s="12">
        <f t="shared" si="103"/>
        <v>209</v>
      </c>
      <c r="T253" s="21">
        <v>0</v>
      </c>
      <c r="U253" s="13">
        <v>0</v>
      </c>
      <c r="V253" s="13">
        <f t="shared" si="121"/>
        <v>905.77419354838707</v>
      </c>
      <c r="W253" s="13">
        <f t="shared" si="91"/>
        <v>11032.290322580644</v>
      </c>
      <c r="Y253" s="13">
        <f t="shared" si="96"/>
        <v>11032.290322580644</v>
      </c>
      <c r="Z253" s="12">
        <f t="shared" si="112"/>
        <v>763.54838709677415</v>
      </c>
      <c r="AA253" s="12">
        <f t="shared" si="92"/>
        <v>568</v>
      </c>
      <c r="AB253" s="1">
        <f t="shared" si="97"/>
        <v>0</v>
      </c>
      <c r="AC253" s="16">
        <f t="shared" si="122"/>
        <v>1331.5483870967741</v>
      </c>
      <c r="AD253" s="16">
        <f t="shared" si="93"/>
        <v>13269.612903225805</v>
      </c>
    </row>
    <row r="254" spans="1:30" x14ac:dyDescent="0.2">
      <c r="A254" s="10" t="s">
        <v>272</v>
      </c>
      <c r="B254" s="11" t="e">
        <f t="shared" si="98"/>
        <v>#REF!</v>
      </c>
      <c r="C254" s="11" t="s">
        <v>428</v>
      </c>
      <c r="D254" s="19" t="s">
        <v>50</v>
      </c>
      <c r="E254" s="19" t="s">
        <v>234</v>
      </c>
      <c r="F254" s="20">
        <v>42767</v>
      </c>
      <c r="G254" s="11">
        <v>34</v>
      </c>
      <c r="H254" s="13">
        <f t="shared" si="123"/>
        <v>5483.8709677419356</v>
      </c>
      <c r="I254" s="13">
        <f t="shared" si="94"/>
        <v>0</v>
      </c>
      <c r="J254" s="13">
        <f t="shared" si="100"/>
        <v>274.19354838709677</v>
      </c>
      <c r="L254" s="13">
        <f t="shared" si="104"/>
        <v>877.41935483870964</v>
      </c>
      <c r="N254" s="13">
        <f>((1950+1441+1043+814+0)/G$3)*G254</f>
        <v>5755.8709677419356</v>
      </c>
      <c r="O254" s="13">
        <v>0</v>
      </c>
      <c r="Q254" s="13">
        <f t="shared" si="95"/>
        <v>12391.354838709678</v>
      </c>
      <c r="R254" s="12">
        <f t="shared" si="89"/>
        <v>658.0645161290322</v>
      </c>
      <c r="S254" s="12">
        <f t="shared" si="103"/>
        <v>217</v>
      </c>
      <c r="T254" s="21">
        <v>0</v>
      </c>
      <c r="U254" s="13">
        <v>0</v>
      </c>
      <c r="V254" s="13">
        <f t="shared" si="121"/>
        <v>875.0645161290322</v>
      </c>
      <c r="W254" s="13">
        <f t="shared" si="91"/>
        <v>11516.290322580646</v>
      </c>
      <c r="Y254" s="13">
        <f t="shared" si="96"/>
        <v>11516.290322580646</v>
      </c>
      <c r="Z254" s="12">
        <f t="shared" si="112"/>
        <v>721.12903225806451</v>
      </c>
      <c r="AA254" s="12">
        <f t="shared" si="92"/>
        <v>589</v>
      </c>
      <c r="AB254" s="1">
        <f t="shared" si="97"/>
        <v>0</v>
      </c>
      <c r="AC254" s="16">
        <f t="shared" si="122"/>
        <v>1310.1290322580644</v>
      </c>
      <c r="AD254" s="16">
        <f t="shared" si="93"/>
        <v>13701.483870967742</v>
      </c>
    </row>
    <row r="255" spans="1:30" x14ac:dyDescent="0.2">
      <c r="A255" s="10" t="s">
        <v>273</v>
      </c>
      <c r="B255" s="11" t="e">
        <f t="shared" si="98"/>
        <v>#REF!</v>
      </c>
      <c r="C255" s="11" t="s">
        <v>209</v>
      </c>
      <c r="D255" s="19" t="s">
        <v>50</v>
      </c>
      <c r="E255" s="19" t="s">
        <v>241</v>
      </c>
      <c r="F255" s="20">
        <v>42767</v>
      </c>
      <c r="G255" s="11">
        <v>36</v>
      </c>
      <c r="H255" s="13">
        <f t="shared" si="123"/>
        <v>5806.4516129032254</v>
      </c>
      <c r="I255" s="13">
        <f t="shared" si="94"/>
        <v>0</v>
      </c>
      <c r="J255" s="13">
        <f t="shared" si="100"/>
        <v>290.32258064516128</v>
      </c>
      <c r="L255" s="13">
        <f t="shared" si="104"/>
        <v>929.0322580645161</v>
      </c>
      <c r="N255" s="13">
        <f>((1950+1441+839+0)/G$3)*G255</f>
        <v>4912.2580645161288</v>
      </c>
      <c r="O255" s="13">
        <v>0</v>
      </c>
      <c r="Q255" s="13">
        <f t="shared" si="95"/>
        <v>11938.06451612903</v>
      </c>
      <c r="R255" s="12">
        <f t="shared" si="89"/>
        <v>696.77419354838707</v>
      </c>
      <c r="S255" s="12">
        <f t="shared" si="103"/>
        <v>209</v>
      </c>
      <c r="T255" s="21">
        <v>0</v>
      </c>
      <c r="U255" s="13">
        <v>0</v>
      </c>
      <c r="V255" s="13">
        <f t="shared" si="121"/>
        <v>905.77419354838707</v>
      </c>
      <c r="W255" s="13">
        <f t="shared" si="91"/>
        <v>11032.290322580644</v>
      </c>
      <c r="Y255" s="13">
        <f t="shared" si="96"/>
        <v>11032.290322580644</v>
      </c>
      <c r="Z255" s="12">
        <f t="shared" si="112"/>
        <v>763.54838709677415</v>
      </c>
      <c r="AA255" s="12">
        <f t="shared" si="92"/>
        <v>568</v>
      </c>
      <c r="AB255" s="1">
        <f t="shared" si="97"/>
        <v>0</v>
      </c>
      <c r="AC255" s="16">
        <f t="shared" si="122"/>
        <v>1331.5483870967741</v>
      </c>
      <c r="AD255" s="16">
        <f t="shared" si="93"/>
        <v>13269.612903225805</v>
      </c>
    </row>
    <row r="256" spans="1:30" x14ac:dyDescent="0.2">
      <c r="A256" s="10" t="s">
        <v>274</v>
      </c>
      <c r="B256" s="11" t="e">
        <f t="shared" si="98"/>
        <v>#REF!</v>
      </c>
      <c r="C256" s="11" t="s">
        <v>210</v>
      </c>
      <c r="D256" s="19" t="s">
        <v>50</v>
      </c>
      <c r="E256" s="19" t="s">
        <v>708</v>
      </c>
      <c r="F256" s="20">
        <v>42767</v>
      </c>
      <c r="G256" s="11">
        <v>35</v>
      </c>
      <c r="H256" s="13">
        <f t="shared" si="123"/>
        <v>5645.1612903225805</v>
      </c>
      <c r="I256" s="13">
        <f t="shared" si="94"/>
        <v>0</v>
      </c>
      <c r="J256" s="13">
        <f t="shared" si="100"/>
        <v>282.25806451612902</v>
      </c>
      <c r="L256" s="13">
        <f t="shared" si="104"/>
        <v>903.22580645161281</v>
      </c>
      <c r="N256" s="13">
        <f>((1950+1441+839+0)/G$3)*G256</f>
        <v>4775.8064516129025</v>
      </c>
      <c r="O256" s="13">
        <v>0</v>
      </c>
      <c r="Q256" s="13">
        <f t="shared" ref="Q256:Q314" si="124">SUM(H256:P256)</f>
        <v>11606.451612903224</v>
      </c>
      <c r="R256" s="12">
        <f t="shared" si="89"/>
        <v>677.41935483870964</v>
      </c>
      <c r="S256" s="12">
        <f t="shared" si="103"/>
        <v>204</v>
      </c>
      <c r="T256" s="21">
        <v>0</v>
      </c>
      <c r="U256" s="13">
        <v>0</v>
      </c>
      <c r="V256" s="13">
        <f t="shared" si="121"/>
        <v>881.41935483870964</v>
      </c>
      <c r="W256" s="13">
        <f t="shared" si="91"/>
        <v>10725.032258064513</v>
      </c>
      <c r="Y256" s="13">
        <f t="shared" si="96"/>
        <v>10725.032258064513</v>
      </c>
      <c r="Z256" s="12">
        <f t="shared" si="112"/>
        <v>742.33870967741939</v>
      </c>
      <c r="AA256" s="12">
        <f t="shared" si="92"/>
        <v>552</v>
      </c>
      <c r="AB256" s="1">
        <f t="shared" si="97"/>
        <v>0</v>
      </c>
      <c r="AC256" s="16">
        <f t="shared" si="122"/>
        <v>1294.3387096774195</v>
      </c>
      <c r="AD256" s="16">
        <f t="shared" si="93"/>
        <v>12900.790322580644</v>
      </c>
    </row>
    <row r="257" spans="1:30" x14ac:dyDescent="0.2">
      <c r="A257" s="10" t="s">
        <v>276</v>
      </c>
      <c r="B257" s="11" t="e">
        <f t="shared" si="98"/>
        <v>#REF!</v>
      </c>
      <c r="C257" s="11" t="s">
        <v>211</v>
      </c>
      <c r="D257" s="19" t="s">
        <v>50</v>
      </c>
      <c r="E257" s="19" t="s">
        <v>484</v>
      </c>
      <c r="F257" s="20">
        <v>42767</v>
      </c>
      <c r="G257" s="11">
        <v>37</v>
      </c>
      <c r="H257" s="13">
        <f t="shared" si="123"/>
        <v>5967.7419354838703</v>
      </c>
      <c r="I257" s="13">
        <f t="shared" si="94"/>
        <v>0</v>
      </c>
      <c r="J257" s="13">
        <f t="shared" si="100"/>
        <v>298.38709677419354</v>
      </c>
      <c r="L257" s="13">
        <f t="shared" si="104"/>
        <v>954.83870967741927</v>
      </c>
      <c r="N257" s="13">
        <f>((1950+1441+1043+0)/G$3)*G257</f>
        <v>5292.1935483870966</v>
      </c>
      <c r="O257" s="13">
        <v>0</v>
      </c>
      <c r="Q257" s="13">
        <f t="shared" si="124"/>
        <v>12513.16129032258</v>
      </c>
      <c r="R257" s="12">
        <f t="shared" si="89"/>
        <v>716.1290322580644</v>
      </c>
      <c r="S257" s="12">
        <f t="shared" si="103"/>
        <v>219</v>
      </c>
      <c r="T257" s="21">
        <v>0</v>
      </c>
      <c r="U257" s="13">
        <v>0</v>
      </c>
      <c r="V257" s="13">
        <f t="shared" si="121"/>
        <v>935.1290322580644</v>
      </c>
      <c r="W257" s="13">
        <f t="shared" si="91"/>
        <v>11578.032258064515</v>
      </c>
      <c r="Y257" s="13">
        <f t="shared" si="96"/>
        <v>11578.032258064515</v>
      </c>
      <c r="Z257" s="12">
        <f t="shared" si="112"/>
        <v>784.75806451612902</v>
      </c>
      <c r="AA257" s="12">
        <f t="shared" si="92"/>
        <v>595</v>
      </c>
      <c r="AB257" s="1">
        <f t="shared" si="97"/>
        <v>0</v>
      </c>
      <c r="AC257" s="16">
        <f t="shared" si="122"/>
        <v>1379.758064516129</v>
      </c>
      <c r="AD257" s="16">
        <f t="shared" si="93"/>
        <v>13892.919354838708</v>
      </c>
    </row>
    <row r="258" spans="1:30" x14ac:dyDescent="0.2">
      <c r="A258" s="10" t="s">
        <v>277</v>
      </c>
      <c r="B258" s="11" t="e">
        <f t="shared" si="98"/>
        <v>#REF!</v>
      </c>
      <c r="C258" s="11" t="s">
        <v>212</v>
      </c>
      <c r="D258" s="19" t="s">
        <v>50</v>
      </c>
      <c r="E258" s="19" t="s">
        <v>484</v>
      </c>
      <c r="F258" s="20">
        <v>42767</v>
      </c>
      <c r="G258" s="11">
        <v>24</v>
      </c>
      <c r="H258" s="13">
        <f t="shared" si="123"/>
        <v>3870.9677419354839</v>
      </c>
      <c r="I258" s="13">
        <f t="shared" si="94"/>
        <v>0</v>
      </c>
      <c r="J258" s="13">
        <f t="shared" si="100"/>
        <v>193.54838709677421</v>
      </c>
      <c r="L258" s="13">
        <f t="shared" si="104"/>
        <v>619.35483870967732</v>
      </c>
      <c r="N258" s="13">
        <f>((1950+1441+1043+0)/G$3)*G258</f>
        <v>3432.7741935483873</v>
      </c>
      <c r="O258" s="13">
        <v>0</v>
      </c>
      <c r="Q258" s="13">
        <f t="shared" si="124"/>
        <v>8116.6451612903229</v>
      </c>
      <c r="R258" s="12">
        <f t="shared" si="89"/>
        <v>464.51612903225805</v>
      </c>
      <c r="S258" s="12">
        <f t="shared" si="103"/>
        <v>143</v>
      </c>
      <c r="T258" s="21">
        <v>0</v>
      </c>
      <c r="U258" s="13">
        <v>0</v>
      </c>
      <c r="V258" s="13">
        <f t="shared" si="121"/>
        <v>607.51612903225805</v>
      </c>
      <c r="W258" s="13">
        <f t="shared" si="91"/>
        <v>7509.1290322580644</v>
      </c>
      <c r="Y258" s="13">
        <f t="shared" si="96"/>
        <v>7509.1290322580644</v>
      </c>
      <c r="Z258" s="12">
        <f t="shared" si="112"/>
        <v>509.03225806451616</v>
      </c>
      <c r="AA258" s="12">
        <f t="shared" si="92"/>
        <v>386</v>
      </c>
      <c r="AB258" s="1">
        <f t="shared" si="97"/>
        <v>0</v>
      </c>
      <c r="AC258" s="16">
        <f t="shared" si="122"/>
        <v>895.0322580645161</v>
      </c>
      <c r="AD258" s="16">
        <f t="shared" si="93"/>
        <v>9011.677419354839</v>
      </c>
    </row>
    <row r="259" spans="1:30" x14ac:dyDescent="0.2">
      <c r="A259" s="10" t="s">
        <v>278</v>
      </c>
      <c r="B259" s="11" t="e">
        <f t="shared" si="98"/>
        <v>#REF!</v>
      </c>
      <c r="C259" s="11" t="s">
        <v>213</v>
      </c>
      <c r="D259" s="19" t="s">
        <v>50</v>
      </c>
      <c r="E259" s="19" t="s">
        <v>234</v>
      </c>
      <c r="F259" s="20">
        <v>42767</v>
      </c>
      <c r="G259" s="11">
        <v>37</v>
      </c>
      <c r="H259" s="13">
        <f t="shared" si="123"/>
        <v>5967.7419354838703</v>
      </c>
      <c r="I259" s="13">
        <f t="shared" si="94"/>
        <v>0</v>
      </c>
      <c r="J259" s="13">
        <f t="shared" si="100"/>
        <v>298.38709677419354</v>
      </c>
      <c r="L259" s="13">
        <f t="shared" si="104"/>
        <v>954.83870967741927</v>
      </c>
      <c r="N259" s="13">
        <f>((1950+1441+1043+814+0)/G$3)*G259</f>
        <v>6263.7419354838703</v>
      </c>
      <c r="O259" s="13">
        <v>0</v>
      </c>
      <c r="Q259" s="13">
        <f t="shared" si="124"/>
        <v>13484.709677419352</v>
      </c>
      <c r="R259" s="12">
        <f t="shared" si="89"/>
        <v>716.1290322580644</v>
      </c>
      <c r="S259" s="12">
        <f t="shared" si="103"/>
        <v>236</v>
      </c>
      <c r="T259" s="21">
        <v>0</v>
      </c>
      <c r="U259" s="13">
        <v>0</v>
      </c>
      <c r="V259" s="13">
        <f t="shared" si="121"/>
        <v>952.1290322580644</v>
      </c>
      <c r="W259" s="13">
        <f t="shared" si="91"/>
        <v>12532.580645161288</v>
      </c>
      <c r="Y259" s="13">
        <f t="shared" si="96"/>
        <v>12532.580645161288</v>
      </c>
      <c r="Z259" s="12">
        <f t="shared" si="112"/>
        <v>784.75806451612902</v>
      </c>
      <c r="AA259" s="12">
        <f t="shared" si="92"/>
        <v>641</v>
      </c>
      <c r="AB259" s="1">
        <f t="shared" si="97"/>
        <v>0</v>
      </c>
      <c r="AC259" s="16">
        <f t="shared" si="122"/>
        <v>1425.758064516129</v>
      </c>
      <c r="AD259" s="16">
        <f t="shared" si="93"/>
        <v>14910.467741935481</v>
      </c>
    </row>
    <row r="260" spans="1:30" x14ac:dyDescent="0.2">
      <c r="A260" s="10" t="s">
        <v>281</v>
      </c>
      <c r="B260" s="11" t="e">
        <f t="shared" si="98"/>
        <v>#REF!</v>
      </c>
      <c r="C260" s="11" t="s">
        <v>216</v>
      </c>
      <c r="D260" s="19" t="s">
        <v>50</v>
      </c>
      <c r="E260" s="19" t="s">
        <v>484</v>
      </c>
      <c r="F260" s="20">
        <v>42767</v>
      </c>
      <c r="G260" s="11">
        <v>28</v>
      </c>
      <c r="H260" s="13">
        <f t="shared" si="123"/>
        <v>4516.1290322580644</v>
      </c>
      <c r="I260" s="13">
        <f t="shared" si="94"/>
        <v>0</v>
      </c>
      <c r="J260" s="13">
        <f t="shared" si="100"/>
        <v>225.80645161290323</v>
      </c>
      <c r="L260" s="13">
        <f t="shared" si="104"/>
        <v>722.58064516129025</v>
      </c>
      <c r="N260" s="13">
        <f>((1950+1441+839+0)/G$3)*G260</f>
        <v>3820.645161290322</v>
      </c>
      <c r="O260" s="13">
        <v>0</v>
      </c>
      <c r="Q260" s="13">
        <f t="shared" si="124"/>
        <v>9285.1612903225796</v>
      </c>
      <c r="R260" s="12">
        <f t="shared" si="89"/>
        <v>541.93548387096769</v>
      </c>
      <c r="S260" s="12">
        <f t="shared" si="103"/>
        <v>163</v>
      </c>
      <c r="T260" s="21">
        <v>0</v>
      </c>
      <c r="U260" s="13">
        <v>0</v>
      </c>
      <c r="V260" s="13">
        <f t="shared" si="121"/>
        <v>704.93548387096769</v>
      </c>
      <c r="W260" s="13">
        <f t="shared" si="91"/>
        <v>8580.2258064516118</v>
      </c>
      <c r="Y260" s="13">
        <f t="shared" si="96"/>
        <v>8580.2258064516118</v>
      </c>
      <c r="Z260" s="12">
        <f t="shared" si="112"/>
        <v>593.87096774193549</v>
      </c>
      <c r="AA260" s="12">
        <f t="shared" si="92"/>
        <v>442</v>
      </c>
      <c r="AB260" s="1">
        <f t="shared" si="97"/>
        <v>0</v>
      </c>
      <c r="AC260" s="16">
        <f t="shared" si="122"/>
        <v>1035.8709677419356</v>
      </c>
      <c r="AD260" s="16">
        <f t="shared" si="93"/>
        <v>10321.032258064515</v>
      </c>
    </row>
    <row r="261" spans="1:30" x14ac:dyDescent="0.2">
      <c r="A261" s="10" t="s">
        <v>283</v>
      </c>
      <c r="B261" s="11" t="e">
        <f t="shared" si="98"/>
        <v>#REF!</v>
      </c>
      <c r="C261" s="11" t="s">
        <v>218</v>
      </c>
      <c r="D261" s="19" t="s">
        <v>50</v>
      </c>
      <c r="E261" s="19" t="s">
        <v>242</v>
      </c>
      <c r="F261" s="20">
        <v>42767</v>
      </c>
      <c r="G261" s="11">
        <v>22</v>
      </c>
      <c r="H261" s="13">
        <f t="shared" si="123"/>
        <v>3548.3870967741932</v>
      </c>
      <c r="I261" s="13">
        <f t="shared" si="94"/>
        <v>0</v>
      </c>
      <c r="J261" s="13">
        <f t="shared" si="100"/>
        <v>177.41935483870967</v>
      </c>
      <c r="L261" s="13">
        <f t="shared" si="104"/>
        <v>567.74193548387098</v>
      </c>
      <c r="N261" s="13">
        <f>((1950+1441+839+0)/G$3)*G261</f>
        <v>3001.9354838709673</v>
      </c>
      <c r="O261" s="13">
        <v>0</v>
      </c>
      <c r="Q261" s="13">
        <f t="shared" si="124"/>
        <v>7295.4838709677406</v>
      </c>
      <c r="R261" s="12">
        <f t="shared" si="89"/>
        <v>425.80645161290317</v>
      </c>
      <c r="S261" s="12">
        <f t="shared" si="103"/>
        <v>128</v>
      </c>
      <c r="T261" s="21">
        <v>0</v>
      </c>
      <c r="U261" s="13">
        <v>0</v>
      </c>
      <c r="V261" s="13">
        <f t="shared" si="121"/>
        <v>553.80645161290317</v>
      </c>
      <c r="W261" s="13">
        <f t="shared" si="91"/>
        <v>6741.6774193548372</v>
      </c>
      <c r="Y261" s="13">
        <f t="shared" si="96"/>
        <v>6741.6774193548372</v>
      </c>
      <c r="Z261" s="12">
        <f t="shared" si="112"/>
        <v>466.61290322580641</v>
      </c>
      <c r="AA261" s="12">
        <f t="shared" si="92"/>
        <v>347</v>
      </c>
      <c r="AB261" s="1">
        <f t="shared" si="97"/>
        <v>0</v>
      </c>
      <c r="AC261" s="16">
        <f t="shared" si="122"/>
        <v>813.61290322580635</v>
      </c>
      <c r="AD261" s="16">
        <f t="shared" si="93"/>
        <v>8109.0967741935474</v>
      </c>
    </row>
    <row r="262" spans="1:30" x14ac:dyDescent="0.2">
      <c r="A262" s="10" t="s">
        <v>296</v>
      </c>
      <c r="B262" s="11" t="e">
        <f t="shared" si="98"/>
        <v>#REF!</v>
      </c>
      <c r="C262" s="11" t="s">
        <v>349</v>
      </c>
      <c r="D262" s="19" t="s">
        <v>50</v>
      </c>
      <c r="E262" s="19" t="s">
        <v>240</v>
      </c>
      <c r="F262" s="20">
        <v>42795</v>
      </c>
      <c r="G262" s="11">
        <v>34</v>
      </c>
      <c r="H262" s="13">
        <f t="shared" si="123"/>
        <v>5483.8709677419356</v>
      </c>
      <c r="I262" s="13">
        <f t="shared" si="94"/>
        <v>0</v>
      </c>
      <c r="J262" s="13">
        <f t="shared" si="100"/>
        <v>274.19354838709677</v>
      </c>
      <c r="L262" s="13">
        <f t="shared" si="104"/>
        <v>877.41935483870964</v>
      </c>
      <c r="N262" s="13">
        <f>((1950+1441+3384+1018+0)/G$3)*G262</f>
        <v>8547.1612903225796</v>
      </c>
      <c r="O262" s="13">
        <v>0</v>
      </c>
      <c r="Q262" s="13">
        <f t="shared" si="124"/>
        <v>15182.645161290322</v>
      </c>
      <c r="R262" s="12">
        <f t="shared" ref="R262:R325" si="125">(H262+I262)*12%</f>
        <v>658.0645161290322</v>
      </c>
      <c r="S262" s="12">
        <f t="shared" si="103"/>
        <v>266</v>
      </c>
      <c r="T262" s="21">
        <v>0</v>
      </c>
      <c r="U262" s="13">
        <v>0</v>
      </c>
      <c r="V262" s="13">
        <f t="shared" si="121"/>
        <v>924.0645161290322</v>
      </c>
      <c r="W262" s="13">
        <f t="shared" ref="W262:W325" si="126">Q262-V262</f>
        <v>14258.58064516129</v>
      </c>
      <c r="Y262" s="13">
        <f t="shared" si="96"/>
        <v>14258.58064516129</v>
      </c>
      <c r="Z262" s="12">
        <f t="shared" si="112"/>
        <v>721.12903225806451</v>
      </c>
      <c r="AA262" s="12">
        <f t="shared" ref="AA262:AA325" si="127">CEILING((Q262)*4.75%,1)</f>
        <v>722</v>
      </c>
      <c r="AB262" s="1">
        <f t="shared" si="97"/>
        <v>0</v>
      </c>
      <c r="AC262" s="16">
        <f t="shared" si="122"/>
        <v>1443.1290322580644</v>
      </c>
      <c r="AD262" s="16">
        <f t="shared" ref="AD262:AD325" si="128">Q262+AC262</f>
        <v>16625.774193548386</v>
      </c>
    </row>
    <row r="263" spans="1:30" x14ac:dyDescent="0.2">
      <c r="A263" s="10" t="s">
        <v>297</v>
      </c>
      <c r="B263" s="11" t="e">
        <f t="shared" si="98"/>
        <v>#REF!</v>
      </c>
      <c r="C263" s="11" t="s">
        <v>254</v>
      </c>
      <c r="D263" s="19" t="s">
        <v>50</v>
      </c>
      <c r="E263" s="19" t="s">
        <v>240</v>
      </c>
      <c r="F263" s="20">
        <v>42795</v>
      </c>
      <c r="G263" s="11">
        <v>34</v>
      </c>
      <c r="H263" s="13">
        <f t="shared" si="123"/>
        <v>5483.8709677419356</v>
      </c>
      <c r="I263" s="13">
        <f t="shared" ref="I263:I326" si="129">((0)/G$3)*G263</f>
        <v>0</v>
      </c>
      <c r="J263" s="13">
        <f t="shared" si="100"/>
        <v>274.19354838709677</v>
      </c>
      <c r="L263" s="13">
        <f t="shared" si="104"/>
        <v>877.41935483870964</v>
      </c>
      <c r="N263" s="13">
        <f>((1950+1441-178+3562+1018)/G$3)*G263</f>
        <v>8547.1612903225796</v>
      </c>
      <c r="O263" s="13">
        <v>0</v>
      </c>
      <c r="Q263" s="13">
        <f t="shared" si="124"/>
        <v>15182.645161290322</v>
      </c>
      <c r="R263" s="12">
        <f t="shared" si="125"/>
        <v>658.0645161290322</v>
      </c>
      <c r="S263" s="12">
        <f t="shared" si="103"/>
        <v>266</v>
      </c>
      <c r="T263" s="21">
        <v>0</v>
      </c>
      <c r="U263" s="13">
        <v>0</v>
      </c>
      <c r="V263" s="13">
        <f t="shared" ref="V263" si="130">SUM(R263:U263)</f>
        <v>924.0645161290322</v>
      </c>
      <c r="W263" s="13">
        <f t="shared" si="126"/>
        <v>14258.58064516129</v>
      </c>
      <c r="Y263" s="13">
        <f t="shared" ref="Y263:Y326" si="131">W263-X263</f>
        <v>14258.58064516129</v>
      </c>
      <c r="Z263" s="12">
        <f t="shared" si="112"/>
        <v>721.12903225806451</v>
      </c>
      <c r="AA263" s="12">
        <f t="shared" si="127"/>
        <v>722</v>
      </c>
      <c r="AB263" s="1">
        <f t="shared" ref="AB263:AB326" si="132">U263*3</f>
        <v>0</v>
      </c>
      <c r="AC263" s="16">
        <f t="shared" ref="AC263" si="133">SUM(Z263:AB263)</f>
        <v>1443.1290322580644</v>
      </c>
      <c r="AD263" s="16">
        <f t="shared" si="128"/>
        <v>16625.774193548386</v>
      </c>
    </row>
    <row r="264" spans="1:30" x14ac:dyDescent="0.2">
      <c r="A264" s="10" t="s">
        <v>299</v>
      </c>
      <c r="B264" s="11" t="e">
        <f t="shared" ref="B264:B327" si="134">B263+1</f>
        <v>#REF!</v>
      </c>
      <c r="C264" s="11" t="s">
        <v>256</v>
      </c>
      <c r="D264" s="19" t="s">
        <v>50</v>
      </c>
      <c r="E264" s="19" t="s">
        <v>238</v>
      </c>
      <c r="F264" s="20">
        <v>42795</v>
      </c>
      <c r="G264" s="11">
        <v>35</v>
      </c>
      <c r="H264" s="13">
        <f t="shared" si="123"/>
        <v>5645.1612903225805</v>
      </c>
      <c r="I264" s="13">
        <f t="shared" si="129"/>
        <v>0</v>
      </c>
      <c r="J264" s="13">
        <f t="shared" si="100"/>
        <v>282.25806451612902</v>
      </c>
      <c r="L264" s="13">
        <f t="shared" si="104"/>
        <v>903.22580645161281</v>
      </c>
      <c r="N264" s="13">
        <f>((1950+1441+839+1018)/G$3)*G264</f>
        <v>5925.1612903225805</v>
      </c>
      <c r="O264" s="13">
        <v>0</v>
      </c>
      <c r="Q264" s="13">
        <f t="shared" si="124"/>
        <v>12755.806451612902</v>
      </c>
      <c r="R264" s="12">
        <f t="shared" si="125"/>
        <v>677.41935483870964</v>
      </c>
      <c r="S264" s="12">
        <f t="shared" si="103"/>
        <v>224</v>
      </c>
      <c r="T264" s="21">
        <v>0</v>
      </c>
      <c r="U264" s="13">
        <v>0</v>
      </c>
      <c r="V264" s="13">
        <f t="shared" ref="V264:V268" si="135">SUM(R264:U264)</f>
        <v>901.41935483870964</v>
      </c>
      <c r="W264" s="13">
        <f t="shared" si="126"/>
        <v>11854.387096774191</v>
      </c>
      <c r="Y264" s="13">
        <f t="shared" si="131"/>
        <v>11854.387096774191</v>
      </c>
      <c r="Z264" s="12">
        <f t="shared" si="112"/>
        <v>742.33870967741939</v>
      </c>
      <c r="AA264" s="12">
        <f t="shared" si="127"/>
        <v>606</v>
      </c>
      <c r="AB264" s="1">
        <f t="shared" si="132"/>
        <v>0</v>
      </c>
      <c r="AC264" s="16">
        <f t="shared" ref="AC264:AC268" si="136">SUM(Z264:AB264)</f>
        <v>1348.3387096774195</v>
      </c>
      <c r="AD264" s="16">
        <f t="shared" si="128"/>
        <v>14104.145161290322</v>
      </c>
    </row>
    <row r="265" spans="1:30" x14ac:dyDescent="0.2">
      <c r="A265" s="10" t="s">
        <v>300</v>
      </c>
      <c r="B265" s="11" t="e">
        <f t="shared" si="134"/>
        <v>#REF!</v>
      </c>
      <c r="C265" s="11" t="s">
        <v>257</v>
      </c>
      <c r="D265" s="19" t="s">
        <v>50</v>
      </c>
      <c r="E265" s="19" t="s">
        <v>484</v>
      </c>
      <c r="F265" s="20">
        <v>42795</v>
      </c>
      <c r="G265" s="11">
        <v>34</v>
      </c>
      <c r="H265" s="13">
        <f t="shared" si="123"/>
        <v>5483.8709677419356</v>
      </c>
      <c r="I265" s="13">
        <f t="shared" si="129"/>
        <v>0</v>
      </c>
      <c r="J265" s="13">
        <f t="shared" si="100"/>
        <v>274.19354838709677</v>
      </c>
      <c r="L265" s="13">
        <f t="shared" si="104"/>
        <v>877.41935483870964</v>
      </c>
      <c r="N265" s="13">
        <f>((1950+1441+839+0)/G$3)*G265</f>
        <v>4639.3548387096771</v>
      </c>
      <c r="O265" s="13">
        <v>0</v>
      </c>
      <c r="Q265" s="13">
        <f t="shared" si="124"/>
        <v>11274.838709677419</v>
      </c>
      <c r="R265" s="12">
        <f t="shared" si="125"/>
        <v>658.0645161290322</v>
      </c>
      <c r="S265" s="12">
        <f t="shared" si="103"/>
        <v>198</v>
      </c>
      <c r="T265" s="21">
        <v>0</v>
      </c>
      <c r="U265" s="13">
        <v>0</v>
      </c>
      <c r="V265" s="13">
        <f t="shared" si="135"/>
        <v>856.0645161290322</v>
      </c>
      <c r="W265" s="13">
        <f t="shared" si="126"/>
        <v>10418.774193548386</v>
      </c>
      <c r="Y265" s="13">
        <f t="shared" si="131"/>
        <v>10418.774193548386</v>
      </c>
      <c r="Z265" s="12">
        <f t="shared" si="112"/>
        <v>721.12903225806451</v>
      </c>
      <c r="AA265" s="12">
        <f t="shared" si="127"/>
        <v>536</v>
      </c>
      <c r="AB265" s="1">
        <f t="shared" si="132"/>
        <v>0</v>
      </c>
      <c r="AC265" s="16">
        <f t="shared" si="136"/>
        <v>1257.1290322580644</v>
      </c>
      <c r="AD265" s="16">
        <f t="shared" si="128"/>
        <v>12531.967741935483</v>
      </c>
    </row>
    <row r="266" spans="1:30" x14ac:dyDescent="0.2">
      <c r="A266" s="10" t="s">
        <v>301</v>
      </c>
      <c r="B266" s="11" t="e">
        <f t="shared" si="134"/>
        <v>#REF!</v>
      </c>
      <c r="C266" s="11" t="s">
        <v>258</v>
      </c>
      <c r="D266" s="19" t="s">
        <v>50</v>
      </c>
      <c r="E266" s="19" t="s">
        <v>240</v>
      </c>
      <c r="F266" s="20">
        <v>42795</v>
      </c>
      <c r="G266" s="11">
        <v>31</v>
      </c>
      <c r="H266" s="13">
        <f t="shared" si="123"/>
        <v>5000</v>
      </c>
      <c r="I266" s="13">
        <f t="shared" si="129"/>
        <v>0</v>
      </c>
      <c r="J266" s="13">
        <f t="shared" si="100"/>
        <v>250</v>
      </c>
      <c r="L266" s="13">
        <f t="shared" si="104"/>
        <v>800</v>
      </c>
      <c r="N266" s="13">
        <f>((1950+1441+839+0)/G$3)*G266</f>
        <v>4230</v>
      </c>
      <c r="O266" s="13">
        <v>0</v>
      </c>
      <c r="Q266" s="13">
        <f t="shared" si="124"/>
        <v>10280</v>
      </c>
      <c r="R266" s="12">
        <f t="shared" si="125"/>
        <v>600</v>
      </c>
      <c r="S266" s="12">
        <f t="shared" si="103"/>
        <v>180</v>
      </c>
      <c r="T266" s="21">
        <v>0</v>
      </c>
      <c r="U266" s="13">
        <v>0</v>
      </c>
      <c r="V266" s="13">
        <f t="shared" si="135"/>
        <v>780</v>
      </c>
      <c r="W266" s="13">
        <f t="shared" si="126"/>
        <v>9500</v>
      </c>
      <c r="Y266" s="13">
        <f t="shared" si="131"/>
        <v>9500</v>
      </c>
      <c r="Z266" s="12">
        <f t="shared" si="112"/>
        <v>657.5</v>
      </c>
      <c r="AA266" s="12">
        <f t="shared" si="127"/>
        <v>489</v>
      </c>
      <c r="AB266" s="1">
        <f t="shared" si="132"/>
        <v>0</v>
      </c>
      <c r="AC266" s="16">
        <f t="shared" si="136"/>
        <v>1146.5</v>
      </c>
      <c r="AD266" s="16">
        <f t="shared" si="128"/>
        <v>11426.5</v>
      </c>
    </row>
    <row r="267" spans="1:30" x14ac:dyDescent="0.2">
      <c r="A267" s="10" t="s">
        <v>302</v>
      </c>
      <c r="B267" s="11" t="e">
        <f t="shared" si="134"/>
        <v>#REF!</v>
      </c>
      <c r="C267" s="11" t="s">
        <v>259</v>
      </c>
      <c r="D267" s="19" t="s">
        <v>50</v>
      </c>
      <c r="E267" s="19" t="s">
        <v>240</v>
      </c>
      <c r="F267" s="20">
        <v>42795</v>
      </c>
      <c r="G267" s="11">
        <v>29</v>
      </c>
      <c r="H267" s="13">
        <f t="shared" si="123"/>
        <v>4677.4193548387093</v>
      </c>
      <c r="I267" s="13">
        <f t="shared" si="129"/>
        <v>0</v>
      </c>
      <c r="J267" s="13">
        <f t="shared" si="100"/>
        <v>233.87096774193549</v>
      </c>
      <c r="L267" s="13">
        <f t="shared" si="104"/>
        <v>748.38709677419354</v>
      </c>
      <c r="N267" s="13">
        <f>((1950+1441+839+1527+1018)/G$3)*G267</f>
        <v>6337.9032258064517</v>
      </c>
      <c r="O267" s="13">
        <v>0</v>
      </c>
      <c r="Q267" s="13">
        <f t="shared" si="124"/>
        <v>11997.58064516129</v>
      </c>
      <c r="R267" s="12">
        <f t="shared" si="125"/>
        <v>561.29032258064512</v>
      </c>
      <c r="S267" s="12">
        <f t="shared" si="103"/>
        <v>210</v>
      </c>
      <c r="T267" s="21">
        <v>0</v>
      </c>
      <c r="U267" s="13">
        <v>0</v>
      </c>
      <c r="V267" s="13">
        <f t="shared" si="135"/>
        <v>771.29032258064512</v>
      </c>
      <c r="W267" s="13">
        <f t="shared" si="126"/>
        <v>11226.290322580644</v>
      </c>
      <c r="Y267" s="13">
        <f t="shared" si="131"/>
        <v>11226.290322580644</v>
      </c>
      <c r="Z267" s="12">
        <f t="shared" si="112"/>
        <v>615.08064516129025</v>
      </c>
      <c r="AA267" s="12">
        <f t="shared" si="127"/>
        <v>570</v>
      </c>
      <c r="AB267" s="1">
        <f t="shared" si="132"/>
        <v>0</v>
      </c>
      <c r="AC267" s="16">
        <f t="shared" si="136"/>
        <v>1185.0806451612902</v>
      </c>
      <c r="AD267" s="16">
        <f t="shared" si="128"/>
        <v>13182.66129032258</v>
      </c>
    </row>
    <row r="268" spans="1:30" x14ac:dyDescent="0.2">
      <c r="A268" s="10" t="s">
        <v>303</v>
      </c>
      <c r="B268" s="11" t="e">
        <f t="shared" si="134"/>
        <v>#REF!</v>
      </c>
      <c r="C268" s="11" t="s">
        <v>260</v>
      </c>
      <c r="D268" s="19" t="s">
        <v>50</v>
      </c>
      <c r="E268" s="19" t="s">
        <v>234</v>
      </c>
      <c r="F268" s="20">
        <v>42795</v>
      </c>
      <c r="G268" s="11">
        <v>4</v>
      </c>
      <c r="H268" s="13">
        <f t="shared" si="123"/>
        <v>645.16129032258061</v>
      </c>
      <c r="I268" s="13">
        <f t="shared" si="129"/>
        <v>0</v>
      </c>
      <c r="J268" s="13">
        <f t="shared" si="100"/>
        <v>32.258064516129032</v>
      </c>
      <c r="L268" s="13">
        <f t="shared" si="104"/>
        <v>103.2258064516129</v>
      </c>
      <c r="N268" s="13">
        <f>((1950+1441+839+1018+0)/G$3)*G268</f>
        <v>677.16129032258061</v>
      </c>
      <c r="O268" s="13">
        <v>0</v>
      </c>
      <c r="Q268" s="13">
        <f t="shared" si="124"/>
        <v>1457.8064516129032</v>
      </c>
      <c r="R268" s="12">
        <f t="shared" si="125"/>
        <v>77.419354838709666</v>
      </c>
      <c r="S268" s="12">
        <f t="shared" si="103"/>
        <v>26</v>
      </c>
      <c r="T268" s="21">
        <v>0</v>
      </c>
      <c r="U268" s="13">
        <v>0</v>
      </c>
      <c r="V268" s="13">
        <f t="shared" si="135"/>
        <v>103.41935483870967</v>
      </c>
      <c r="W268" s="13">
        <f t="shared" si="126"/>
        <v>1354.3870967741934</v>
      </c>
      <c r="Y268" s="13">
        <f t="shared" si="131"/>
        <v>1354.3870967741934</v>
      </c>
      <c r="Z268" s="12">
        <f t="shared" si="112"/>
        <v>84.838709677419359</v>
      </c>
      <c r="AA268" s="12">
        <f t="shared" si="127"/>
        <v>70</v>
      </c>
      <c r="AB268" s="1">
        <f t="shared" si="132"/>
        <v>0</v>
      </c>
      <c r="AC268" s="16">
        <f t="shared" si="136"/>
        <v>154.83870967741936</v>
      </c>
      <c r="AD268" s="16">
        <f t="shared" si="128"/>
        <v>1612.6451612903224</v>
      </c>
    </row>
    <row r="269" spans="1:30" x14ac:dyDescent="0.2">
      <c r="A269" s="10" t="s">
        <v>306</v>
      </c>
      <c r="B269" s="11" t="e">
        <f>#REF!+1</f>
        <v>#REF!</v>
      </c>
      <c r="C269" s="11" t="s">
        <v>704</v>
      </c>
      <c r="D269" s="19" t="s">
        <v>50</v>
      </c>
      <c r="E269" s="19" t="s">
        <v>484</v>
      </c>
      <c r="F269" s="20">
        <v>42795</v>
      </c>
      <c r="G269" s="11">
        <v>30</v>
      </c>
      <c r="H269" s="13">
        <f t="shared" si="123"/>
        <v>4838.7096774193542</v>
      </c>
      <c r="I269" s="13">
        <f t="shared" si="129"/>
        <v>0</v>
      </c>
      <c r="J269" s="13">
        <f t="shared" si="100"/>
        <v>241.93548387096772</v>
      </c>
      <c r="L269" s="13">
        <f t="shared" si="104"/>
        <v>774.19354838709671</v>
      </c>
      <c r="N269" s="13">
        <f>((1950+1441+839+0)/G$3)*G269</f>
        <v>4093.5483870967737</v>
      </c>
      <c r="O269" s="13">
        <v>0</v>
      </c>
      <c r="Q269" s="13">
        <f t="shared" si="124"/>
        <v>9948.3870967741932</v>
      </c>
      <c r="R269" s="12">
        <f t="shared" si="125"/>
        <v>580.64516129032245</v>
      </c>
      <c r="S269" s="12">
        <f t="shared" si="103"/>
        <v>175</v>
      </c>
      <c r="T269" s="21">
        <v>0</v>
      </c>
      <c r="U269" s="13">
        <v>0</v>
      </c>
      <c r="V269" s="13">
        <f t="shared" ref="V269:V332" si="137">SUM(R269:U269)</f>
        <v>755.64516129032245</v>
      </c>
      <c r="W269" s="13">
        <f t="shared" si="126"/>
        <v>9192.7419354838712</v>
      </c>
      <c r="Y269" s="13">
        <f t="shared" si="131"/>
        <v>9192.7419354838712</v>
      </c>
      <c r="Z269" s="12">
        <f t="shared" si="112"/>
        <v>636.29032258064512</v>
      </c>
      <c r="AA269" s="12">
        <f t="shared" si="127"/>
        <v>473</v>
      </c>
      <c r="AB269" s="1">
        <f t="shared" si="132"/>
        <v>0</v>
      </c>
      <c r="AC269" s="16">
        <f t="shared" ref="AC269:AC332" si="138">SUM(Z269:AB269)</f>
        <v>1109.2903225806451</v>
      </c>
      <c r="AD269" s="16">
        <f t="shared" si="128"/>
        <v>11057.677419354839</v>
      </c>
    </row>
    <row r="270" spans="1:30" x14ac:dyDescent="0.2">
      <c r="A270" s="10" t="s">
        <v>100</v>
      </c>
      <c r="B270" s="11" t="e">
        <f t="shared" si="134"/>
        <v>#REF!</v>
      </c>
      <c r="C270" s="11" t="s">
        <v>84</v>
      </c>
      <c r="D270" s="19" t="s">
        <v>50</v>
      </c>
      <c r="E270" s="19" t="s">
        <v>239</v>
      </c>
      <c r="F270" s="20">
        <v>42864</v>
      </c>
      <c r="G270" s="11">
        <v>32</v>
      </c>
      <c r="H270" s="13">
        <f t="shared" si="123"/>
        <v>5161.2903225806449</v>
      </c>
      <c r="I270" s="13">
        <f t="shared" si="129"/>
        <v>0</v>
      </c>
      <c r="J270" s="13">
        <f t="shared" si="100"/>
        <v>258.06451612903226</v>
      </c>
      <c r="L270" s="13">
        <f t="shared" si="104"/>
        <v>825.80645161290317</v>
      </c>
      <c r="N270" s="13">
        <f>((5197)/G$3)*G270</f>
        <v>5364.6451612903229</v>
      </c>
      <c r="O270" s="13">
        <v>0</v>
      </c>
      <c r="Q270" s="13">
        <f t="shared" si="124"/>
        <v>11609.806451612903</v>
      </c>
      <c r="R270" s="12">
        <f t="shared" si="125"/>
        <v>619.35483870967732</v>
      </c>
      <c r="S270" s="12">
        <f t="shared" si="103"/>
        <v>204</v>
      </c>
      <c r="T270" s="21">
        <v>0</v>
      </c>
      <c r="U270" s="13">
        <v>0</v>
      </c>
      <c r="V270" s="13">
        <f t="shared" si="137"/>
        <v>823.35483870967732</v>
      </c>
      <c r="W270" s="13">
        <f t="shared" si="126"/>
        <v>10786.451612903225</v>
      </c>
      <c r="Y270" s="13">
        <f t="shared" si="131"/>
        <v>10786.451612903225</v>
      </c>
      <c r="Z270" s="12">
        <f t="shared" si="112"/>
        <v>678.70967741935488</v>
      </c>
      <c r="AA270" s="12">
        <f t="shared" si="127"/>
        <v>552</v>
      </c>
      <c r="AB270" s="1">
        <f t="shared" si="132"/>
        <v>0</v>
      </c>
      <c r="AC270" s="16">
        <f t="shared" si="138"/>
        <v>1230.7096774193549</v>
      </c>
      <c r="AD270" s="16">
        <f t="shared" si="128"/>
        <v>12840.516129032258</v>
      </c>
    </row>
    <row r="271" spans="1:30" x14ac:dyDescent="0.2">
      <c r="A271" s="10" t="s">
        <v>415</v>
      </c>
      <c r="B271" s="11" t="e">
        <f t="shared" si="134"/>
        <v>#REF!</v>
      </c>
      <c r="C271" s="11" t="s">
        <v>324</v>
      </c>
      <c r="D271" s="19" t="s">
        <v>50</v>
      </c>
      <c r="E271" s="11" t="s">
        <v>239</v>
      </c>
      <c r="F271" s="20">
        <v>42826</v>
      </c>
      <c r="G271" s="11">
        <v>34</v>
      </c>
      <c r="H271" s="13">
        <f t="shared" si="123"/>
        <v>5483.8709677419356</v>
      </c>
      <c r="I271" s="13">
        <f t="shared" si="129"/>
        <v>0</v>
      </c>
      <c r="J271" s="13">
        <f t="shared" si="100"/>
        <v>274.19354838709677</v>
      </c>
      <c r="L271" s="13">
        <f t="shared" si="104"/>
        <v>877.41935483870964</v>
      </c>
      <c r="N271" s="13">
        <f>((1950+1441+839+0)/G$3)*G271</f>
        <v>4639.3548387096771</v>
      </c>
      <c r="O271" s="13">
        <v>0</v>
      </c>
      <c r="Q271" s="13">
        <f t="shared" si="124"/>
        <v>11274.838709677419</v>
      </c>
      <c r="R271" s="12">
        <f t="shared" si="125"/>
        <v>658.0645161290322</v>
      </c>
      <c r="S271" s="12">
        <f t="shared" si="103"/>
        <v>198</v>
      </c>
      <c r="T271" s="21">
        <v>0</v>
      </c>
      <c r="U271" s="13">
        <v>0</v>
      </c>
      <c r="V271" s="13">
        <f t="shared" si="137"/>
        <v>856.0645161290322</v>
      </c>
      <c r="W271" s="13">
        <f t="shared" si="126"/>
        <v>10418.774193548386</v>
      </c>
      <c r="Y271" s="13">
        <f t="shared" si="131"/>
        <v>10418.774193548386</v>
      </c>
      <c r="Z271" s="12">
        <f t="shared" si="112"/>
        <v>721.12903225806451</v>
      </c>
      <c r="AA271" s="12">
        <f t="shared" si="127"/>
        <v>536</v>
      </c>
      <c r="AB271" s="1">
        <f t="shared" si="132"/>
        <v>0</v>
      </c>
      <c r="AC271" s="16">
        <f t="shared" si="138"/>
        <v>1257.1290322580644</v>
      </c>
      <c r="AD271" s="16">
        <f t="shared" si="128"/>
        <v>12531.967741935483</v>
      </c>
    </row>
    <row r="272" spans="1:30" x14ac:dyDescent="0.2">
      <c r="A272" s="10" t="s">
        <v>331</v>
      </c>
      <c r="B272" s="11" t="e">
        <f t="shared" si="134"/>
        <v>#REF!</v>
      </c>
      <c r="C272" s="11" t="s">
        <v>325</v>
      </c>
      <c r="D272" s="19" t="s">
        <v>50</v>
      </c>
      <c r="E272" s="11" t="s">
        <v>242</v>
      </c>
      <c r="F272" s="20">
        <v>42826</v>
      </c>
      <c r="G272" s="11">
        <v>27</v>
      </c>
      <c r="H272" s="13">
        <f t="shared" si="123"/>
        <v>4354.8387096774195</v>
      </c>
      <c r="I272" s="13">
        <f t="shared" si="129"/>
        <v>0</v>
      </c>
      <c r="J272" s="13">
        <f t="shared" si="100"/>
        <v>217.74193548387098</v>
      </c>
      <c r="L272" s="13">
        <f t="shared" si="104"/>
        <v>696.77419354838707</v>
      </c>
      <c r="N272" s="13">
        <f>((1950+1441+839+0)/G$3)*G272</f>
        <v>3684.1935483870966</v>
      </c>
      <c r="O272" s="13">
        <v>0</v>
      </c>
      <c r="Q272" s="13">
        <f t="shared" si="124"/>
        <v>8953.5483870967746</v>
      </c>
      <c r="R272" s="12">
        <f t="shared" si="125"/>
        <v>522.58064516129036</v>
      </c>
      <c r="S272" s="12">
        <f t="shared" si="103"/>
        <v>157</v>
      </c>
      <c r="T272" s="21">
        <v>0</v>
      </c>
      <c r="U272" s="13">
        <v>0</v>
      </c>
      <c r="V272" s="13">
        <f t="shared" si="137"/>
        <v>679.58064516129036</v>
      </c>
      <c r="W272" s="13">
        <f t="shared" si="126"/>
        <v>8273.9677419354848</v>
      </c>
      <c r="Y272" s="13">
        <f t="shared" si="131"/>
        <v>8273.9677419354848</v>
      </c>
      <c r="Z272" s="12">
        <f t="shared" si="112"/>
        <v>572.66129032258073</v>
      </c>
      <c r="AA272" s="12">
        <f t="shared" si="127"/>
        <v>426</v>
      </c>
      <c r="AB272" s="1">
        <f t="shared" si="132"/>
        <v>0</v>
      </c>
      <c r="AC272" s="16">
        <f t="shared" si="138"/>
        <v>998.66129032258073</v>
      </c>
      <c r="AD272" s="16">
        <f t="shared" si="128"/>
        <v>9952.209677419356</v>
      </c>
    </row>
    <row r="273" spans="1:31" x14ac:dyDescent="0.2">
      <c r="A273" s="10" t="s">
        <v>416</v>
      </c>
      <c r="B273" s="11" t="e">
        <f t="shared" si="134"/>
        <v>#REF!</v>
      </c>
      <c r="C273" s="11" t="s">
        <v>326</v>
      </c>
      <c r="D273" s="19" t="s">
        <v>50</v>
      </c>
      <c r="E273" s="11" t="s">
        <v>239</v>
      </c>
      <c r="F273" s="20">
        <v>42826</v>
      </c>
      <c r="G273" s="11">
        <v>34</v>
      </c>
      <c r="H273" s="13">
        <f t="shared" si="123"/>
        <v>5483.8709677419356</v>
      </c>
      <c r="I273" s="13">
        <f t="shared" si="129"/>
        <v>0</v>
      </c>
      <c r="J273" s="13">
        <f t="shared" si="100"/>
        <v>274.19354838709677</v>
      </c>
      <c r="L273" s="13">
        <f t="shared" si="104"/>
        <v>877.41935483870964</v>
      </c>
      <c r="N273" s="13">
        <f>((1950+1441-178+1526+1018+0)/G$3)*G273</f>
        <v>6314.1290322580644</v>
      </c>
      <c r="O273" s="13">
        <v>0</v>
      </c>
      <c r="Q273" s="13">
        <f t="shared" si="124"/>
        <v>12949.612903225807</v>
      </c>
      <c r="R273" s="12">
        <f t="shared" si="125"/>
        <v>658.0645161290322</v>
      </c>
      <c r="S273" s="12">
        <f t="shared" si="103"/>
        <v>227</v>
      </c>
      <c r="T273" s="21">
        <v>0</v>
      </c>
      <c r="U273" s="13">
        <v>0</v>
      </c>
      <c r="V273" s="13">
        <f t="shared" si="137"/>
        <v>885.0645161290322</v>
      </c>
      <c r="W273" s="13">
        <f t="shared" si="126"/>
        <v>12064.548387096775</v>
      </c>
      <c r="Y273" s="13">
        <f t="shared" si="131"/>
        <v>12064.548387096775</v>
      </c>
      <c r="Z273" s="12">
        <f t="shared" si="112"/>
        <v>721.12903225806451</v>
      </c>
      <c r="AA273" s="12">
        <f t="shared" si="127"/>
        <v>616</v>
      </c>
      <c r="AB273" s="1">
        <f t="shared" si="132"/>
        <v>0</v>
      </c>
      <c r="AC273" s="16">
        <f t="shared" si="138"/>
        <v>1337.1290322580644</v>
      </c>
      <c r="AD273" s="16">
        <f t="shared" si="128"/>
        <v>14286.741935483871</v>
      </c>
    </row>
    <row r="274" spans="1:31" x14ac:dyDescent="0.2">
      <c r="A274" s="10" t="s">
        <v>417</v>
      </c>
      <c r="B274" s="11" t="e">
        <f t="shared" si="134"/>
        <v>#REF!</v>
      </c>
      <c r="C274" s="11" t="s">
        <v>327</v>
      </c>
      <c r="D274" s="19" t="s">
        <v>50</v>
      </c>
      <c r="E274" s="11" t="s">
        <v>234</v>
      </c>
      <c r="F274" s="20">
        <v>42826</v>
      </c>
      <c r="G274" s="11">
        <v>36</v>
      </c>
      <c r="H274" s="13">
        <f t="shared" si="123"/>
        <v>5806.4516129032254</v>
      </c>
      <c r="I274" s="13">
        <f t="shared" si="129"/>
        <v>0</v>
      </c>
      <c r="J274" s="13">
        <f t="shared" si="100"/>
        <v>290.32258064516128</v>
      </c>
      <c r="L274" s="13">
        <f t="shared" si="104"/>
        <v>929.0322580645161</v>
      </c>
      <c r="N274" s="13">
        <f>((1950+1441-178+1017+1018+0)/G$3)*G274</f>
        <v>6094.4516129032254</v>
      </c>
      <c r="O274" s="13">
        <v>0</v>
      </c>
      <c r="Q274" s="13">
        <f t="shared" si="124"/>
        <v>13120.258064516129</v>
      </c>
      <c r="R274" s="12">
        <f t="shared" si="125"/>
        <v>696.77419354838707</v>
      </c>
      <c r="S274" s="12">
        <f t="shared" si="103"/>
        <v>230</v>
      </c>
      <c r="T274" s="21">
        <v>0</v>
      </c>
      <c r="U274" s="13">
        <v>0</v>
      </c>
      <c r="V274" s="13">
        <f t="shared" si="137"/>
        <v>926.77419354838707</v>
      </c>
      <c r="W274" s="13">
        <f t="shared" si="126"/>
        <v>12193.483870967742</v>
      </c>
      <c r="Y274" s="13">
        <f t="shared" si="131"/>
        <v>12193.483870967742</v>
      </c>
      <c r="Z274" s="12">
        <f t="shared" si="112"/>
        <v>763.54838709677415</v>
      </c>
      <c r="AA274" s="12">
        <f t="shared" si="127"/>
        <v>624</v>
      </c>
      <c r="AB274" s="1">
        <f t="shared" si="132"/>
        <v>0</v>
      </c>
      <c r="AC274" s="16">
        <f t="shared" si="138"/>
        <v>1387.5483870967741</v>
      </c>
      <c r="AD274" s="16">
        <f t="shared" si="128"/>
        <v>14507.806451612903</v>
      </c>
    </row>
    <row r="275" spans="1:31" x14ac:dyDescent="0.2">
      <c r="A275" s="10" t="s">
        <v>419</v>
      </c>
      <c r="B275" s="11" t="e">
        <f t="shared" si="134"/>
        <v>#REF!</v>
      </c>
      <c r="C275" s="11" t="s">
        <v>328</v>
      </c>
      <c r="D275" s="19" t="s">
        <v>50</v>
      </c>
      <c r="E275" s="11" t="s">
        <v>234</v>
      </c>
      <c r="F275" s="20">
        <v>42826</v>
      </c>
      <c r="G275" s="11">
        <v>31</v>
      </c>
      <c r="H275" s="13">
        <f t="shared" si="123"/>
        <v>5000</v>
      </c>
      <c r="I275" s="13">
        <f t="shared" si="129"/>
        <v>0</v>
      </c>
      <c r="J275" s="13">
        <f t="shared" ref="J275:J338" si="139">(H275+I275)*5%</f>
        <v>250</v>
      </c>
      <c r="L275" s="13">
        <f t="shared" si="104"/>
        <v>800</v>
      </c>
      <c r="N275" s="13">
        <f>((1950+1441-178+1017+1018+0)/G$3)*G275</f>
        <v>5248</v>
      </c>
      <c r="O275" s="13">
        <v>0</v>
      </c>
      <c r="Q275" s="13">
        <f t="shared" si="124"/>
        <v>11298</v>
      </c>
      <c r="R275" s="12">
        <f t="shared" si="125"/>
        <v>600</v>
      </c>
      <c r="S275" s="12">
        <f t="shared" si="103"/>
        <v>198</v>
      </c>
      <c r="T275" s="21">
        <v>0</v>
      </c>
      <c r="U275" s="13">
        <v>0</v>
      </c>
      <c r="V275" s="13">
        <f t="shared" si="137"/>
        <v>798</v>
      </c>
      <c r="W275" s="13">
        <f t="shared" si="126"/>
        <v>10500</v>
      </c>
      <c r="Y275" s="13">
        <f t="shared" si="131"/>
        <v>10500</v>
      </c>
      <c r="Z275" s="12">
        <f t="shared" si="112"/>
        <v>657.5</v>
      </c>
      <c r="AA275" s="12">
        <f t="shared" si="127"/>
        <v>537</v>
      </c>
      <c r="AB275" s="1">
        <f t="shared" si="132"/>
        <v>0</v>
      </c>
      <c r="AC275" s="16">
        <f t="shared" si="138"/>
        <v>1194.5</v>
      </c>
      <c r="AD275" s="16">
        <f t="shared" si="128"/>
        <v>12492.5</v>
      </c>
    </row>
    <row r="276" spans="1:31" x14ac:dyDescent="0.2">
      <c r="A276" s="10" t="s">
        <v>420</v>
      </c>
      <c r="B276" s="11" t="e">
        <f t="shared" si="134"/>
        <v>#REF!</v>
      </c>
      <c r="C276" s="11" t="s">
        <v>329</v>
      </c>
      <c r="D276" s="19" t="s">
        <v>50</v>
      </c>
      <c r="E276" s="11" t="s">
        <v>484</v>
      </c>
      <c r="F276" s="20">
        <v>42826</v>
      </c>
      <c r="G276" s="11">
        <v>22</v>
      </c>
      <c r="H276" s="13">
        <f t="shared" si="123"/>
        <v>3548.3870967741932</v>
      </c>
      <c r="I276" s="13">
        <f t="shared" si="129"/>
        <v>0</v>
      </c>
      <c r="J276" s="13">
        <f t="shared" si="139"/>
        <v>177.41935483870967</v>
      </c>
      <c r="L276" s="13">
        <f t="shared" si="104"/>
        <v>567.74193548387098</v>
      </c>
      <c r="N276" s="13">
        <f>((1950+1441+1806)/G$3)*G276</f>
        <v>3688.1935483870971</v>
      </c>
      <c r="O276" s="13">
        <v>0</v>
      </c>
      <c r="Q276" s="13">
        <f t="shared" si="124"/>
        <v>7981.7419354838712</v>
      </c>
      <c r="R276" s="12">
        <f t="shared" si="125"/>
        <v>425.80645161290317</v>
      </c>
      <c r="S276" s="12">
        <f t="shared" si="103"/>
        <v>140</v>
      </c>
      <c r="T276" s="21">
        <v>0</v>
      </c>
      <c r="U276" s="13">
        <v>0</v>
      </c>
      <c r="V276" s="13">
        <f t="shared" si="137"/>
        <v>565.80645161290317</v>
      </c>
      <c r="W276" s="13">
        <f t="shared" si="126"/>
        <v>7415.9354838709678</v>
      </c>
      <c r="Y276" s="13">
        <f t="shared" si="131"/>
        <v>7415.9354838709678</v>
      </c>
      <c r="Z276" s="12">
        <f t="shared" si="112"/>
        <v>466.61290322580641</v>
      </c>
      <c r="AA276" s="12">
        <f t="shared" si="127"/>
        <v>380</v>
      </c>
      <c r="AB276" s="1">
        <f t="shared" si="132"/>
        <v>0</v>
      </c>
      <c r="AC276" s="16">
        <f t="shared" si="138"/>
        <v>846.61290322580635</v>
      </c>
      <c r="AD276" s="16">
        <f t="shared" si="128"/>
        <v>8828.354838709678</v>
      </c>
    </row>
    <row r="277" spans="1:31" x14ac:dyDescent="0.2">
      <c r="A277" s="10" t="s">
        <v>421</v>
      </c>
      <c r="B277" s="11" t="e">
        <f t="shared" si="134"/>
        <v>#REF!</v>
      </c>
      <c r="C277" s="11" t="s">
        <v>330</v>
      </c>
      <c r="D277" s="19" t="s">
        <v>50</v>
      </c>
      <c r="E277" s="11" t="s">
        <v>239</v>
      </c>
      <c r="F277" s="20">
        <v>42826</v>
      </c>
      <c r="G277" s="11">
        <v>34</v>
      </c>
      <c r="H277" s="13">
        <f t="shared" si="123"/>
        <v>5483.8709677419356</v>
      </c>
      <c r="I277" s="13">
        <f t="shared" si="129"/>
        <v>0</v>
      </c>
      <c r="J277" s="13">
        <f t="shared" si="139"/>
        <v>274.19354838709677</v>
      </c>
      <c r="L277" s="13">
        <f t="shared" ref="L277:L340" si="140">((800)/G$3)*G277</f>
        <v>877.41935483870964</v>
      </c>
      <c r="N277" s="13">
        <f>((1950+1441+839+0)/G$3)*G277</f>
        <v>4639.3548387096771</v>
      </c>
      <c r="O277" s="13">
        <v>0</v>
      </c>
      <c r="Q277" s="13">
        <f t="shared" si="124"/>
        <v>11274.838709677419</v>
      </c>
      <c r="R277" s="12">
        <f t="shared" si="125"/>
        <v>658.0645161290322</v>
      </c>
      <c r="S277" s="12">
        <f t="shared" si="103"/>
        <v>198</v>
      </c>
      <c r="T277" s="21">
        <v>0</v>
      </c>
      <c r="U277" s="13">
        <v>0</v>
      </c>
      <c r="V277" s="13">
        <f t="shared" si="137"/>
        <v>856.0645161290322</v>
      </c>
      <c r="W277" s="13">
        <f t="shared" si="126"/>
        <v>10418.774193548386</v>
      </c>
      <c r="Y277" s="13">
        <f t="shared" si="131"/>
        <v>10418.774193548386</v>
      </c>
      <c r="Z277" s="12">
        <f t="shared" si="112"/>
        <v>721.12903225806451</v>
      </c>
      <c r="AA277" s="12">
        <f t="shared" si="127"/>
        <v>536</v>
      </c>
      <c r="AB277" s="1">
        <f t="shared" si="132"/>
        <v>0</v>
      </c>
      <c r="AC277" s="16">
        <f t="shared" si="138"/>
        <v>1257.1290322580644</v>
      </c>
      <c r="AD277" s="16">
        <f t="shared" si="128"/>
        <v>12531.967741935483</v>
      </c>
    </row>
    <row r="278" spans="1:31" x14ac:dyDescent="0.2">
      <c r="A278" s="10" t="s">
        <v>590</v>
      </c>
      <c r="B278" s="11" t="e">
        <f t="shared" si="134"/>
        <v>#REF!</v>
      </c>
      <c r="C278" s="11" t="s">
        <v>356</v>
      </c>
      <c r="D278" s="19" t="s">
        <v>50</v>
      </c>
      <c r="E278" s="19" t="s">
        <v>240</v>
      </c>
      <c r="F278" s="20">
        <v>42856</v>
      </c>
      <c r="G278" s="11">
        <v>27</v>
      </c>
      <c r="H278" s="13">
        <f t="shared" si="123"/>
        <v>4354.8387096774195</v>
      </c>
      <c r="I278" s="13">
        <f t="shared" si="129"/>
        <v>0</v>
      </c>
      <c r="J278" s="13">
        <f t="shared" si="139"/>
        <v>217.74193548387098</v>
      </c>
      <c r="L278" s="13">
        <f t="shared" si="140"/>
        <v>696.77419354838707</v>
      </c>
      <c r="N278" s="13">
        <f>((1950+1441+839+0)/G$3)*G278</f>
        <v>3684.1935483870966</v>
      </c>
      <c r="O278" s="13">
        <v>0</v>
      </c>
      <c r="Q278" s="13">
        <f t="shared" si="124"/>
        <v>8953.5483870967746</v>
      </c>
      <c r="R278" s="12">
        <f t="shared" si="125"/>
        <v>522.58064516129036</v>
      </c>
      <c r="S278" s="12">
        <f t="shared" si="103"/>
        <v>157</v>
      </c>
      <c r="T278" s="21">
        <v>0</v>
      </c>
      <c r="U278" s="13">
        <v>0</v>
      </c>
      <c r="V278" s="13">
        <f t="shared" si="137"/>
        <v>679.58064516129036</v>
      </c>
      <c r="W278" s="13">
        <f t="shared" si="126"/>
        <v>8273.9677419354848</v>
      </c>
      <c r="Y278" s="13">
        <f t="shared" si="131"/>
        <v>8273.9677419354848</v>
      </c>
      <c r="Z278" s="12">
        <f t="shared" si="112"/>
        <v>572.66129032258073</v>
      </c>
      <c r="AA278" s="12">
        <f t="shared" si="127"/>
        <v>426</v>
      </c>
      <c r="AB278" s="1">
        <f t="shared" si="132"/>
        <v>0</v>
      </c>
      <c r="AC278" s="16">
        <f t="shared" si="138"/>
        <v>998.66129032258073</v>
      </c>
      <c r="AD278" s="16">
        <f t="shared" si="128"/>
        <v>9952.209677419356</v>
      </c>
    </row>
    <row r="279" spans="1:31" x14ac:dyDescent="0.2">
      <c r="A279" s="10" t="s">
        <v>594</v>
      </c>
      <c r="B279" s="11" t="e">
        <f t="shared" si="134"/>
        <v>#REF!</v>
      </c>
      <c r="C279" s="11" t="s">
        <v>259</v>
      </c>
      <c r="D279" s="19" t="s">
        <v>50</v>
      </c>
      <c r="E279" s="19" t="s">
        <v>234</v>
      </c>
      <c r="F279" s="20">
        <v>42870</v>
      </c>
      <c r="G279" s="11">
        <v>35</v>
      </c>
      <c r="H279" s="13">
        <f t="shared" si="123"/>
        <v>5645.1612903225805</v>
      </c>
      <c r="I279" s="13">
        <f t="shared" si="129"/>
        <v>0</v>
      </c>
      <c r="J279" s="13">
        <f t="shared" si="139"/>
        <v>282.25806451612902</v>
      </c>
      <c r="L279" s="13">
        <f t="shared" si="140"/>
        <v>903.22580645161281</v>
      </c>
      <c r="N279" s="13">
        <f t="shared" ref="N279:N284" si="141">((1950+1441-178+1017+1018+0)/G$3)*G279</f>
        <v>5925.1612903225805</v>
      </c>
      <c r="O279" s="13">
        <v>0</v>
      </c>
      <c r="Q279" s="13">
        <f t="shared" si="124"/>
        <v>12755.806451612902</v>
      </c>
      <c r="R279" s="12">
        <f t="shared" si="125"/>
        <v>677.41935483870964</v>
      </c>
      <c r="S279" s="12">
        <f t="shared" si="103"/>
        <v>224</v>
      </c>
      <c r="T279" s="21">
        <v>0</v>
      </c>
      <c r="U279" s="13">
        <v>0</v>
      </c>
      <c r="V279" s="13">
        <f t="shared" si="137"/>
        <v>901.41935483870964</v>
      </c>
      <c r="W279" s="13">
        <f t="shared" si="126"/>
        <v>11854.387096774191</v>
      </c>
      <c r="Y279" s="13">
        <f t="shared" si="131"/>
        <v>11854.387096774191</v>
      </c>
      <c r="Z279" s="12">
        <f t="shared" si="112"/>
        <v>742.33870967741939</v>
      </c>
      <c r="AA279" s="12">
        <f t="shared" si="127"/>
        <v>606</v>
      </c>
      <c r="AB279" s="1">
        <f t="shared" si="132"/>
        <v>0</v>
      </c>
      <c r="AC279" s="16">
        <f t="shared" si="138"/>
        <v>1348.3387096774195</v>
      </c>
      <c r="AD279" s="16">
        <f t="shared" si="128"/>
        <v>14104.145161290322</v>
      </c>
    </row>
    <row r="280" spans="1:31" x14ac:dyDescent="0.2">
      <c r="A280" s="10" t="s">
        <v>597</v>
      </c>
      <c r="B280" s="11" t="e">
        <f t="shared" si="134"/>
        <v>#REF!</v>
      </c>
      <c r="C280" s="11" t="s">
        <v>363</v>
      </c>
      <c r="D280" s="19" t="s">
        <v>50</v>
      </c>
      <c r="E280" s="19" t="s">
        <v>234</v>
      </c>
      <c r="F280" s="20">
        <v>42856</v>
      </c>
      <c r="G280" s="11">
        <v>22</v>
      </c>
      <c r="H280" s="13">
        <f t="shared" si="123"/>
        <v>3548.3870967741932</v>
      </c>
      <c r="I280" s="13">
        <f t="shared" si="129"/>
        <v>0</v>
      </c>
      <c r="J280" s="13">
        <f t="shared" si="139"/>
        <v>177.41935483870967</v>
      </c>
      <c r="L280" s="13">
        <f t="shared" si="140"/>
        <v>567.74193548387098</v>
      </c>
      <c r="N280" s="13">
        <f t="shared" si="141"/>
        <v>3724.3870967741932</v>
      </c>
      <c r="O280" s="13">
        <v>0</v>
      </c>
      <c r="Q280" s="13">
        <f t="shared" si="124"/>
        <v>8017.9354838709669</v>
      </c>
      <c r="R280" s="12">
        <f t="shared" si="125"/>
        <v>425.80645161290317</v>
      </c>
      <c r="S280" s="12">
        <f t="shared" si="103"/>
        <v>141</v>
      </c>
      <c r="T280" s="21">
        <v>0</v>
      </c>
      <c r="U280" s="13">
        <v>0</v>
      </c>
      <c r="V280" s="13">
        <f t="shared" si="137"/>
        <v>566.80645161290317</v>
      </c>
      <c r="W280" s="13">
        <f t="shared" si="126"/>
        <v>7451.1290322580635</v>
      </c>
      <c r="Y280" s="13">
        <f t="shared" si="131"/>
        <v>7451.1290322580635</v>
      </c>
      <c r="Z280" s="12">
        <f t="shared" si="112"/>
        <v>466.61290322580641</v>
      </c>
      <c r="AA280" s="12">
        <f t="shared" si="127"/>
        <v>381</v>
      </c>
      <c r="AB280" s="1">
        <f t="shared" si="132"/>
        <v>0</v>
      </c>
      <c r="AC280" s="16">
        <f t="shared" si="138"/>
        <v>847.61290322580635</v>
      </c>
      <c r="AD280" s="16">
        <f t="shared" si="128"/>
        <v>8865.5483870967728</v>
      </c>
    </row>
    <row r="281" spans="1:31" x14ac:dyDescent="0.2">
      <c r="A281" s="10" t="s">
        <v>598</v>
      </c>
      <c r="B281" s="11" t="e">
        <f t="shared" si="134"/>
        <v>#REF!</v>
      </c>
      <c r="C281" s="11" t="s">
        <v>364</v>
      </c>
      <c r="D281" s="19" t="s">
        <v>50</v>
      </c>
      <c r="E281" s="19" t="s">
        <v>234</v>
      </c>
      <c r="F281" s="20">
        <v>42856</v>
      </c>
      <c r="G281" s="11">
        <v>21</v>
      </c>
      <c r="H281" s="13">
        <f t="shared" si="123"/>
        <v>3387.0967741935483</v>
      </c>
      <c r="I281" s="13">
        <f t="shared" si="129"/>
        <v>0</v>
      </c>
      <c r="J281" s="13">
        <f t="shared" si="139"/>
        <v>169.35483870967744</v>
      </c>
      <c r="L281" s="13">
        <f t="shared" si="140"/>
        <v>541.93548387096769</v>
      </c>
      <c r="N281" s="13">
        <f t="shared" si="141"/>
        <v>3555.0967741935483</v>
      </c>
      <c r="O281" s="13">
        <v>0</v>
      </c>
      <c r="Q281" s="13">
        <f t="shared" si="124"/>
        <v>7653.4838709677415</v>
      </c>
      <c r="R281" s="12">
        <f t="shared" si="125"/>
        <v>406.45161290322579</v>
      </c>
      <c r="S281" s="12">
        <f t="shared" si="103"/>
        <v>134</v>
      </c>
      <c r="T281" s="21">
        <v>0</v>
      </c>
      <c r="U281" s="13">
        <v>0</v>
      </c>
      <c r="V281" s="13">
        <f t="shared" si="137"/>
        <v>540.45161290322585</v>
      </c>
      <c r="W281" s="13">
        <f t="shared" si="126"/>
        <v>7113.0322580645152</v>
      </c>
      <c r="Y281" s="13">
        <f t="shared" si="131"/>
        <v>7113.0322580645152</v>
      </c>
      <c r="Z281" s="12">
        <f t="shared" si="112"/>
        <v>445.40322580645164</v>
      </c>
      <c r="AA281" s="12">
        <f t="shared" si="127"/>
        <v>364</v>
      </c>
      <c r="AB281" s="1">
        <f t="shared" si="132"/>
        <v>0</v>
      </c>
      <c r="AC281" s="16">
        <f t="shared" si="138"/>
        <v>809.4032258064517</v>
      </c>
      <c r="AD281" s="16">
        <f t="shared" si="128"/>
        <v>8462.8870967741932</v>
      </c>
    </row>
    <row r="282" spans="1:31" x14ac:dyDescent="0.2">
      <c r="A282" s="10" t="s">
        <v>599</v>
      </c>
      <c r="B282" s="11" t="e">
        <f t="shared" si="134"/>
        <v>#REF!</v>
      </c>
      <c r="C282" s="11" t="s">
        <v>365</v>
      </c>
      <c r="D282" s="19" t="s">
        <v>50</v>
      </c>
      <c r="E282" s="19" t="s">
        <v>234</v>
      </c>
      <c r="F282" s="20">
        <v>42856</v>
      </c>
      <c r="G282" s="11">
        <v>4</v>
      </c>
      <c r="H282" s="13">
        <f t="shared" si="123"/>
        <v>645.16129032258061</v>
      </c>
      <c r="I282" s="13">
        <f t="shared" si="129"/>
        <v>0</v>
      </c>
      <c r="J282" s="13">
        <f t="shared" si="139"/>
        <v>32.258064516129032</v>
      </c>
      <c r="L282" s="13">
        <f t="shared" si="140"/>
        <v>103.2258064516129</v>
      </c>
      <c r="N282" s="13">
        <f t="shared" si="141"/>
        <v>677.16129032258061</v>
      </c>
      <c r="O282" s="13">
        <v>0</v>
      </c>
      <c r="Q282" s="13">
        <f t="shared" si="124"/>
        <v>1457.8064516129032</v>
      </c>
      <c r="R282" s="12">
        <f t="shared" si="125"/>
        <v>77.419354838709666</v>
      </c>
      <c r="S282" s="12">
        <f t="shared" si="103"/>
        <v>26</v>
      </c>
      <c r="T282" s="21">
        <v>0</v>
      </c>
      <c r="U282" s="13">
        <v>0</v>
      </c>
      <c r="V282" s="13">
        <f t="shared" si="137"/>
        <v>103.41935483870967</v>
      </c>
      <c r="W282" s="13">
        <f t="shared" si="126"/>
        <v>1354.3870967741934</v>
      </c>
      <c r="Y282" s="13">
        <f t="shared" si="131"/>
        <v>1354.3870967741934</v>
      </c>
      <c r="Z282" s="12">
        <f t="shared" si="112"/>
        <v>84.838709677419359</v>
      </c>
      <c r="AA282" s="12">
        <f t="shared" si="127"/>
        <v>70</v>
      </c>
      <c r="AB282" s="1">
        <f t="shared" si="132"/>
        <v>0</v>
      </c>
      <c r="AC282" s="16">
        <f t="shared" si="138"/>
        <v>154.83870967741936</v>
      </c>
      <c r="AD282" s="16">
        <f t="shared" si="128"/>
        <v>1612.6451612903224</v>
      </c>
    </row>
    <row r="283" spans="1:31" x14ac:dyDescent="0.2">
      <c r="A283" s="10" t="s">
        <v>601</v>
      </c>
      <c r="B283" s="11" t="e">
        <f t="shared" si="134"/>
        <v>#REF!</v>
      </c>
      <c r="C283" s="11" t="s">
        <v>368</v>
      </c>
      <c r="D283" s="19" t="s">
        <v>50</v>
      </c>
      <c r="E283" s="19" t="s">
        <v>234</v>
      </c>
      <c r="F283" s="20">
        <v>42856</v>
      </c>
      <c r="G283" s="11">
        <v>31</v>
      </c>
      <c r="H283" s="13">
        <f t="shared" si="123"/>
        <v>5000</v>
      </c>
      <c r="I283" s="13">
        <f t="shared" si="129"/>
        <v>0</v>
      </c>
      <c r="J283" s="13">
        <f t="shared" si="139"/>
        <v>250</v>
      </c>
      <c r="L283" s="13">
        <f t="shared" si="140"/>
        <v>800</v>
      </c>
      <c r="N283" s="13">
        <f t="shared" si="141"/>
        <v>5248</v>
      </c>
      <c r="O283" s="13">
        <v>0</v>
      </c>
      <c r="Q283" s="13">
        <f t="shared" si="124"/>
        <v>11298</v>
      </c>
      <c r="R283" s="12">
        <f t="shared" si="125"/>
        <v>600</v>
      </c>
      <c r="S283" s="12">
        <f t="shared" si="103"/>
        <v>198</v>
      </c>
      <c r="T283" s="21">
        <v>0</v>
      </c>
      <c r="U283" s="13">
        <v>0</v>
      </c>
      <c r="V283" s="13">
        <f t="shared" si="137"/>
        <v>798</v>
      </c>
      <c r="W283" s="13">
        <f t="shared" si="126"/>
        <v>10500</v>
      </c>
      <c r="Y283" s="13">
        <f t="shared" si="131"/>
        <v>10500</v>
      </c>
      <c r="Z283" s="12">
        <f t="shared" si="112"/>
        <v>657.5</v>
      </c>
      <c r="AA283" s="12">
        <f t="shared" si="127"/>
        <v>537</v>
      </c>
      <c r="AB283" s="1">
        <f t="shared" si="132"/>
        <v>0</v>
      </c>
      <c r="AC283" s="16">
        <f t="shared" si="138"/>
        <v>1194.5</v>
      </c>
      <c r="AD283" s="16">
        <f t="shared" si="128"/>
        <v>12492.5</v>
      </c>
    </row>
    <row r="284" spans="1:31" x14ac:dyDescent="0.2">
      <c r="A284" s="10" t="s">
        <v>603</v>
      </c>
      <c r="B284" s="11" t="e">
        <f t="shared" si="134"/>
        <v>#REF!</v>
      </c>
      <c r="C284" s="11" t="s">
        <v>370</v>
      </c>
      <c r="D284" s="19" t="s">
        <v>50</v>
      </c>
      <c r="E284" s="19" t="s">
        <v>234</v>
      </c>
      <c r="F284" s="20">
        <v>42856</v>
      </c>
      <c r="G284" s="11">
        <v>22</v>
      </c>
      <c r="H284" s="13">
        <f t="shared" si="123"/>
        <v>3548.3870967741932</v>
      </c>
      <c r="I284" s="13">
        <f t="shared" si="129"/>
        <v>0</v>
      </c>
      <c r="J284" s="13">
        <f t="shared" si="139"/>
        <v>177.41935483870967</v>
      </c>
      <c r="L284" s="13">
        <f t="shared" si="140"/>
        <v>567.74193548387098</v>
      </c>
      <c r="N284" s="13">
        <f t="shared" si="141"/>
        <v>3724.3870967741932</v>
      </c>
      <c r="O284" s="13">
        <v>0</v>
      </c>
      <c r="Q284" s="13">
        <f t="shared" si="124"/>
        <v>8017.9354838709669</v>
      </c>
      <c r="R284" s="12">
        <f t="shared" si="125"/>
        <v>425.80645161290317</v>
      </c>
      <c r="S284" s="12">
        <f t="shared" si="103"/>
        <v>141</v>
      </c>
      <c r="T284" s="21">
        <v>0</v>
      </c>
      <c r="U284" s="13">
        <v>0</v>
      </c>
      <c r="V284" s="13">
        <f t="shared" si="137"/>
        <v>566.80645161290317</v>
      </c>
      <c r="W284" s="13">
        <f t="shared" si="126"/>
        <v>7451.1290322580635</v>
      </c>
      <c r="Y284" s="13">
        <f t="shared" si="131"/>
        <v>7451.1290322580635</v>
      </c>
      <c r="Z284" s="12">
        <f t="shared" si="112"/>
        <v>466.61290322580641</v>
      </c>
      <c r="AA284" s="12">
        <f t="shared" si="127"/>
        <v>381</v>
      </c>
      <c r="AB284" s="1">
        <f t="shared" si="132"/>
        <v>0</v>
      </c>
      <c r="AC284" s="16">
        <f t="shared" si="138"/>
        <v>847.61290322580635</v>
      </c>
      <c r="AD284" s="16">
        <f t="shared" si="128"/>
        <v>8865.5483870967728</v>
      </c>
    </row>
    <row r="285" spans="1:31" x14ac:dyDescent="0.2">
      <c r="A285" s="10" t="s">
        <v>604</v>
      </c>
      <c r="B285" s="11" t="e">
        <f t="shared" si="134"/>
        <v>#REF!</v>
      </c>
      <c r="C285" s="11" t="s">
        <v>371</v>
      </c>
      <c r="D285" s="19" t="s">
        <v>50</v>
      </c>
      <c r="E285" s="19" t="s">
        <v>234</v>
      </c>
      <c r="F285" s="20">
        <v>42856</v>
      </c>
      <c r="G285" s="11">
        <v>13</v>
      </c>
      <c r="H285" s="13">
        <f t="shared" si="123"/>
        <v>2096.7741935483868</v>
      </c>
      <c r="I285" s="13">
        <f t="shared" si="129"/>
        <v>0</v>
      </c>
      <c r="J285" s="13">
        <f t="shared" si="139"/>
        <v>104.83870967741935</v>
      </c>
      <c r="L285" s="13">
        <f t="shared" si="140"/>
        <v>335.48387096774189</v>
      </c>
      <c r="N285" s="13">
        <f>((1950+1441-178+1017+1018+1069)/G$3)*G285</f>
        <v>2649.0645161290322</v>
      </c>
      <c r="O285" s="13">
        <v>0</v>
      </c>
      <c r="Q285" s="13">
        <f t="shared" si="124"/>
        <v>5186.1612903225805</v>
      </c>
      <c r="R285" s="12">
        <f t="shared" si="125"/>
        <v>251.61290322580641</v>
      </c>
      <c r="S285" s="12">
        <f t="shared" si="103"/>
        <v>91</v>
      </c>
      <c r="T285" s="21">
        <v>0</v>
      </c>
      <c r="U285" s="13">
        <v>0</v>
      </c>
      <c r="V285" s="13">
        <f t="shared" si="137"/>
        <v>342.61290322580641</v>
      </c>
      <c r="W285" s="13">
        <f t="shared" si="126"/>
        <v>4843.5483870967737</v>
      </c>
      <c r="Y285" s="13">
        <f t="shared" si="131"/>
        <v>4843.5483870967737</v>
      </c>
      <c r="Z285" s="12">
        <f t="shared" si="112"/>
        <v>275.72580645161287</v>
      </c>
      <c r="AA285" s="12">
        <f t="shared" si="127"/>
        <v>247</v>
      </c>
      <c r="AB285" s="1">
        <f t="shared" si="132"/>
        <v>0</v>
      </c>
      <c r="AC285" s="16">
        <f t="shared" si="138"/>
        <v>522.72580645161293</v>
      </c>
      <c r="AD285" s="16">
        <f t="shared" si="128"/>
        <v>5708.8870967741932</v>
      </c>
      <c r="AE285" s="11" t="s">
        <v>1030</v>
      </c>
    </row>
    <row r="286" spans="1:31" x14ac:dyDescent="0.2">
      <c r="A286" s="10" t="s">
        <v>607</v>
      </c>
      <c r="B286" s="11" t="e">
        <f>#REF!+1</f>
        <v>#REF!</v>
      </c>
      <c r="C286" s="11" t="s">
        <v>373</v>
      </c>
      <c r="D286" s="19" t="s">
        <v>50</v>
      </c>
      <c r="E286" s="19" t="s">
        <v>709</v>
      </c>
      <c r="F286" s="20">
        <v>42856</v>
      </c>
      <c r="G286" s="11">
        <v>20</v>
      </c>
      <c r="H286" s="13">
        <f t="shared" si="123"/>
        <v>3225.8064516129029</v>
      </c>
      <c r="I286" s="13">
        <f t="shared" si="129"/>
        <v>0</v>
      </c>
      <c r="J286" s="13">
        <f t="shared" si="139"/>
        <v>161.29032258064515</v>
      </c>
      <c r="L286" s="13">
        <f t="shared" si="140"/>
        <v>516.12903225806451</v>
      </c>
      <c r="N286" s="13">
        <f>((1950+1441+839+0)/G$3)*G286</f>
        <v>2729.0322580645161</v>
      </c>
      <c r="O286" s="13">
        <v>0</v>
      </c>
      <c r="Q286" s="13">
        <f t="shared" si="124"/>
        <v>6632.2580645161288</v>
      </c>
      <c r="R286" s="12">
        <f t="shared" si="125"/>
        <v>387.09677419354836</v>
      </c>
      <c r="S286" s="12">
        <f t="shared" si="103"/>
        <v>117</v>
      </c>
      <c r="T286" s="21">
        <v>0</v>
      </c>
      <c r="U286" s="13">
        <v>0</v>
      </c>
      <c r="V286" s="13">
        <f t="shared" si="137"/>
        <v>504.09677419354836</v>
      </c>
      <c r="W286" s="13">
        <f t="shared" si="126"/>
        <v>6128.1612903225805</v>
      </c>
      <c r="Y286" s="13">
        <f t="shared" si="131"/>
        <v>6128.1612903225805</v>
      </c>
      <c r="Z286" s="12">
        <f t="shared" si="112"/>
        <v>424.19354838709677</v>
      </c>
      <c r="AA286" s="12">
        <f t="shared" si="127"/>
        <v>316</v>
      </c>
      <c r="AB286" s="1">
        <f t="shared" si="132"/>
        <v>0</v>
      </c>
      <c r="AC286" s="16">
        <f t="shared" si="138"/>
        <v>740.19354838709683</v>
      </c>
      <c r="AD286" s="16">
        <f t="shared" si="128"/>
        <v>7372.4516129032254</v>
      </c>
    </row>
    <row r="287" spans="1:31" x14ac:dyDescent="0.2">
      <c r="A287" s="10" t="s">
        <v>608</v>
      </c>
      <c r="B287" s="11" t="e">
        <f t="shared" si="134"/>
        <v>#REF!</v>
      </c>
      <c r="C287" s="11" t="s">
        <v>374</v>
      </c>
      <c r="D287" s="19" t="s">
        <v>50</v>
      </c>
      <c r="E287" s="19" t="s">
        <v>234</v>
      </c>
      <c r="F287" s="20">
        <v>42856</v>
      </c>
      <c r="G287" s="11">
        <v>13</v>
      </c>
      <c r="H287" s="13">
        <f t="shared" si="123"/>
        <v>2096.7741935483868</v>
      </c>
      <c r="I287" s="13">
        <f t="shared" si="129"/>
        <v>0</v>
      </c>
      <c r="J287" s="13">
        <f t="shared" si="139"/>
        <v>104.83870967741935</v>
      </c>
      <c r="L287" s="13">
        <f t="shared" si="140"/>
        <v>335.48387096774189</v>
      </c>
      <c r="N287" s="13">
        <f>((1950+1441+1857+0)/G$3)*G287</f>
        <v>2200.7741935483868</v>
      </c>
      <c r="O287" s="13">
        <v>0</v>
      </c>
      <c r="Q287" s="13">
        <f t="shared" si="124"/>
        <v>4737.8709677419356</v>
      </c>
      <c r="R287" s="12">
        <f t="shared" si="125"/>
        <v>251.61290322580641</v>
      </c>
      <c r="S287" s="12">
        <f t="shared" si="103"/>
        <v>83</v>
      </c>
      <c r="T287" s="21">
        <v>0</v>
      </c>
      <c r="U287" s="13">
        <v>0</v>
      </c>
      <c r="V287" s="13">
        <f t="shared" si="137"/>
        <v>334.61290322580641</v>
      </c>
      <c r="W287" s="13">
        <f t="shared" si="126"/>
        <v>4403.2580645161288</v>
      </c>
      <c r="Y287" s="13">
        <f t="shared" si="131"/>
        <v>4403.2580645161288</v>
      </c>
      <c r="Z287" s="12">
        <f t="shared" si="112"/>
        <v>275.72580645161287</v>
      </c>
      <c r="AA287" s="12">
        <f t="shared" si="127"/>
        <v>226</v>
      </c>
      <c r="AB287" s="1">
        <f t="shared" si="132"/>
        <v>0</v>
      </c>
      <c r="AC287" s="16">
        <f t="shared" si="138"/>
        <v>501.72580645161287</v>
      </c>
      <c r="AD287" s="16">
        <f t="shared" si="128"/>
        <v>5239.5967741935483</v>
      </c>
    </row>
    <row r="288" spans="1:31" x14ac:dyDescent="0.2">
      <c r="A288" s="10" t="s">
        <v>613</v>
      </c>
      <c r="B288" s="11" t="e">
        <f>#REF!+1</f>
        <v>#REF!</v>
      </c>
      <c r="C288" s="11" t="s">
        <v>379</v>
      </c>
      <c r="D288" s="19" t="s">
        <v>50</v>
      </c>
      <c r="E288" s="19" t="s">
        <v>242</v>
      </c>
      <c r="F288" s="20">
        <v>42856</v>
      </c>
      <c r="G288" s="11">
        <v>37</v>
      </c>
      <c r="H288" s="13">
        <f t="shared" si="123"/>
        <v>5967.7419354838703</v>
      </c>
      <c r="I288" s="13">
        <f t="shared" si="129"/>
        <v>0</v>
      </c>
      <c r="J288" s="13">
        <f t="shared" si="139"/>
        <v>298.38709677419354</v>
      </c>
      <c r="L288" s="13">
        <f t="shared" si="140"/>
        <v>954.83870967741927</v>
      </c>
      <c r="N288" s="13">
        <f t="shared" ref="N288:N290" si="142">((1950+1441-178+1017+0)/G$3)*G288</f>
        <v>5048.7096774193542</v>
      </c>
      <c r="O288" s="13">
        <v>0</v>
      </c>
      <c r="Q288" s="13">
        <f t="shared" si="124"/>
        <v>12269.677419354837</v>
      </c>
      <c r="R288" s="12">
        <f t="shared" si="125"/>
        <v>716.1290322580644</v>
      </c>
      <c r="S288" s="12">
        <f t="shared" si="103"/>
        <v>215</v>
      </c>
      <c r="T288" s="21">
        <v>0</v>
      </c>
      <c r="U288" s="13">
        <v>0</v>
      </c>
      <c r="V288" s="13">
        <f t="shared" si="137"/>
        <v>931.1290322580644</v>
      </c>
      <c r="W288" s="13">
        <f t="shared" si="126"/>
        <v>11338.548387096773</v>
      </c>
      <c r="Y288" s="13">
        <f t="shared" si="131"/>
        <v>11338.548387096773</v>
      </c>
      <c r="Z288" s="12">
        <f t="shared" si="112"/>
        <v>784.75806451612902</v>
      </c>
      <c r="AA288" s="12">
        <f t="shared" si="127"/>
        <v>583</v>
      </c>
      <c r="AB288" s="1">
        <f t="shared" si="132"/>
        <v>0</v>
      </c>
      <c r="AC288" s="16">
        <f t="shared" si="138"/>
        <v>1367.758064516129</v>
      </c>
      <c r="AD288" s="16">
        <f t="shared" si="128"/>
        <v>13637.435483870966</v>
      </c>
    </row>
    <row r="289" spans="1:30" x14ac:dyDescent="0.2">
      <c r="A289" s="10" t="s">
        <v>615</v>
      </c>
      <c r="B289" s="11" t="e">
        <f t="shared" si="134"/>
        <v>#REF!</v>
      </c>
      <c r="C289" s="11" t="s">
        <v>381</v>
      </c>
      <c r="D289" s="19" t="s">
        <v>50</v>
      </c>
      <c r="E289" s="19" t="s">
        <v>709</v>
      </c>
      <c r="F289" s="20">
        <v>42856</v>
      </c>
      <c r="G289" s="11">
        <v>37</v>
      </c>
      <c r="H289" s="13">
        <f t="shared" si="123"/>
        <v>5967.7419354838703</v>
      </c>
      <c r="I289" s="13">
        <f t="shared" si="129"/>
        <v>0</v>
      </c>
      <c r="J289" s="13">
        <f t="shared" si="139"/>
        <v>298.38709677419354</v>
      </c>
      <c r="L289" s="13">
        <f t="shared" si="140"/>
        <v>954.83870967741927</v>
      </c>
      <c r="N289" s="13">
        <f t="shared" si="142"/>
        <v>5048.7096774193542</v>
      </c>
      <c r="O289" s="13">
        <v>0</v>
      </c>
      <c r="Q289" s="13">
        <f t="shared" si="124"/>
        <v>12269.677419354837</v>
      </c>
      <c r="R289" s="12">
        <f t="shared" si="125"/>
        <v>716.1290322580644</v>
      </c>
      <c r="S289" s="12">
        <f t="shared" si="103"/>
        <v>215</v>
      </c>
      <c r="T289" s="21">
        <v>0</v>
      </c>
      <c r="U289" s="13">
        <v>0</v>
      </c>
      <c r="V289" s="13">
        <f t="shared" si="137"/>
        <v>931.1290322580644</v>
      </c>
      <c r="W289" s="13">
        <f t="shared" si="126"/>
        <v>11338.548387096773</v>
      </c>
      <c r="Y289" s="13">
        <f t="shared" si="131"/>
        <v>11338.548387096773</v>
      </c>
      <c r="Z289" s="12">
        <f t="shared" si="112"/>
        <v>784.75806451612902</v>
      </c>
      <c r="AA289" s="12">
        <f t="shared" si="127"/>
        <v>583</v>
      </c>
      <c r="AB289" s="1">
        <f t="shared" si="132"/>
        <v>0</v>
      </c>
      <c r="AC289" s="16">
        <f t="shared" si="138"/>
        <v>1367.758064516129</v>
      </c>
      <c r="AD289" s="16">
        <f t="shared" si="128"/>
        <v>13637.435483870966</v>
      </c>
    </row>
    <row r="290" spans="1:30" x14ac:dyDescent="0.2">
      <c r="A290" s="10" t="s">
        <v>616</v>
      </c>
      <c r="B290" s="11" t="e">
        <f t="shared" si="134"/>
        <v>#REF!</v>
      </c>
      <c r="C290" s="11" t="s">
        <v>382</v>
      </c>
      <c r="D290" s="19" t="s">
        <v>50</v>
      </c>
      <c r="E290" s="19" t="s">
        <v>484</v>
      </c>
      <c r="F290" s="20">
        <v>42882</v>
      </c>
      <c r="G290" s="11">
        <v>24</v>
      </c>
      <c r="H290" s="13">
        <f t="shared" si="123"/>
        <v>3870.9677419354839</v>
      </c>
      <c r="I290" s="13">
        <f t="shared" si="129"/>
        <v>0</v>
      </c>
      <c r="J290" s="13">
        <f t="shared" si="139"/>
        <v>193.54838709677421</v>
      </c>
      <c r="L290" s="13">
        <f t="shared" si="140"/>
        <v>619.35483870967732</v>
      </c>
      <c r="N290" s="13">
        <f t="shared" si="142"/>
        <v>3274.838709677419</v>
      </c>
      <c r="O290" s="13">
        <v>0</v>
      </c>
      <c r="Q290" s="13">
        <f t="shared" si="124"/>
        <v>7958.7096774193542</v>
      </c>
      <c r="R290" s="12">
        <f t="shared" si="125"/>
        <v>464.51612903225805</v>
      </c>
      <c r="S290" s="12">
        <f t="shared" si="103"/>
        <v>140</v>
      </c>
      <c r="T290" s="21">
        <v>0</v>
      </c>
      <c r="U290" s="13">
        <v>0</v>
      </c>
      <c r="V290" s="13">
        <f t="shared" si="137"/>
        <v>604.51612903225805</v>
      </c>
      <c r="W290" s="13">
        <f t="shared" si="126"/>
        <v>7354.1935483870966</v>
      </c>
      <c r="Y290" s="13">
        <f t="shared" si="131"/>
        <v>7354.1935483870966</v>
      </c>
      <c r="Z290" s="12">
        <f t="shared" si="112"/>
        <v>509.03225806451616</v>
      </c>
      <c r="AA290" s="12">
        <f t="shared" si="127"/>
        <v>379</v>
      </c>
      <c r="AB290" s="1">
        <f t="shared" si="132"/>
        <v>0</v>
      </c>
      <c r="AC290" s="16">
        <f t="shared" si="138"/>
        <v>888.0322580645161</v>
      </c>
      <c r="AD290" s="16">
        <f t="shared" si="128"/>
        <v>8846.7419354838712</v>
      </c>
    </row>
    <row r="291" spans="1:30" x14ac:dyDescent="0.2">
      <c r="A291" s="10" t="s">
        <v>620</v>
      </c>
      <c r="B291" s="11" t="e">
        <f t="shared" si="134"/>
        <v>#REF!</v>
      </c>
      <c r="C291" s="11" t="s">
        <v>354</v>
      </c>
      <c r="D291" s="19" t="s">
        <v>50</v>
      </c>
      <c r="E291" s="19" t="s">
        <v>237</v>
      </c>
      <c r="F291" s="20">
        <v>42277</v>
      </c>
      <c r="G291" s="11">
        <v>36</v>
      </c>
      <c r="H291" s="13">
        <f t="shared" si="123"/>
        <v>5806.4516129032254</v>
      </c>
      <c r="I291" s="13">
        <f t="shared" si="129"/>
        <v>0</v>
      </c>
      <c r="J291" s="13">
        <f t="shared" si="139"/>
        <v>290.32258064516128</v>
      </c>
      <c r="L291" s="13">
        <f t="shared" si="140"/>
        <v>929.0322580645161</v>
      </c>
      <c r="N291" s="13">
        <f>((1950+1441+4137+0)/G$3)*G291</f>
        <v>8742.1935483870966</v>
      </c>
      <c r="O291" s="13">
        <v>0</v>
      </c>
      <c r="Q291" s="13">
        <f t="shared" si="124"/>
        <v>15768</v>
      </c>
      <c r="R291" s="12">
        <f t="shared" si="125"/>
        <v>696.77419354838707</v>
      </c>
      <c r="S291" s="12">
        <f t="shared" si="103"/>
        <v>276</v>
      </c>
      <c r="T291" s="21">
        <v>0</v>
      </c>
      <c r="U291" s="13">
        <v>0</v>
      </c>
      <c r="V291" s="13">
        <f t="shared" si="137"/>
        <v>972.77419354838707</v>
      </c>
      <c r="W291" s="13">
        <f t="shared" si="126"/>
        <v>14795.225806451614</v>
      </c>
      <c r="Y291" s="13">
        <f t="shared" si="131"/>
        <v>14795.225806451614</v>
      </c>
      <c r="Z291" s="12">
        <f t="shared" si="112"/>
        <v>763.54838709677415</v>
      </c>
      <c r="AA291" s="12">
        <f t="shared" si="127"/>
        <v>749</v>
      </c>
      <c r="AB291" s="1">
        <f t="shared" si="132"/>
        <v>0</v>
      </c>
      <c r="AC291" s="16">
        <f t="shared" si="138"/>
        <v>1512.5483870967741</v>
      </c>
      <c r="AD291" s="16">
        <f t="shared" si="128"/>
        <v>17280.548387096773</v>
      </c>
    </row>
    <row r="292" spans="1:30" x14ac:dyDescent="0.2">
      <c r="A292" s="10" t="s">
        <v>627</v>
      </c>
      <c r="B292" s="11" t="e">
        <f t="shared" si="134"/>
        <v>#REF!</v>
      </c>
      <c r="C292" s="11" t="s">
        <v>391</v>
      </c>
      <c r="D292" s="19" t="s">
        <v>50</v>
      </c>
      <c r="E292" s="19" t="s">
        <v>232</v>
      </c>
      <c r="F292" s="20">
        <v>42875</v>
      </c>
      <c r="G292" s="11">
        <v>33</v>
      </c>
      <c r="H292" s="13">
        <f t="shared" si="123"/>
        <v>5322.5806451612898</v>
      </c>
      <c r="I292" s="13">
        <f t="shared" si="129"/>
        <v>0</v>
      </c>
      <c r="J292" s="13">
        <f t="shared" si="139"/>
        <v>266.12903225806451</v>
      </c>
      <c r="L292" s="13">
        <f t="shared" si="140"/>
        <v>851.61290322580635</v>
      </c>
      <c r="N292" s="13">
        <f>((1950+1441-178+1017+0)/G$3)*G292</f>
        <v>4502.9032258064508</v>
      </c>
      <c r="O292" s="13">
        <v>0</v>
      </c>
      <c r="Q292" s="13">
        <f t="shared" si="124"/>
        <v>10943.225806451612</v>
      </c>
      <c r="R292" s="12">
        <f t="shared" si="125"/>
        <v>638.70967741935476</v>
      </c>
      <c r="S292" s="12">
        <f t="shared" si="103"/>
        <v>192</v>
      </c>
      <c r="T292" s="21">
        <v>0</v>
      </c>
      <c r="U292" s="13">
        <v>0</v>
      </c>
      <c r="V292" s="13">
        <f t="shared" si="137"/>
        <v>830.70967741935476</v>
      </c>
      <c r="W292" s="13">
        <f t="shared" si="126"/>
        <v>10112.516129032258</v>
      </c>
      <c r="Y292" s="13">
        <f t="shared" si="131"/>
        <v>10112.516129032258</v>
      </c>
      <c r="Z292" s="12">
        <f t="shared" si="112"/>
        <v>699.91935483870964</v>
      </c>
      <c r="AA292" s="12">
        <f t="shared" si="127"/>
        <v>520</v>
      </c>
      <c r="AB292" s="1">
        <f t="shared" si="132"/>
        <v>0</v>
      </c>
      <c r="AC292" s="16">
        <f t="shared" si="138"/>
        <v>1219.9193548387098</v>
      </c>
      <c r="AD292" s="16">
        <f t="shared" si="128"/>
        <v>12163.145161290322</v>
      </c>
    </row>
    <row r="293" spans="1:30" x14ac:dyDescent="0.2">
      <c r="A293" s="10" t="s">
        <v>628</v>
      </c>
      <c r="B293" s="11" t="e">
        <f t="shared" si="134"/>
        <v>#REF!</v>
      </c>
      <c r="C293" s="11" t="s">
        <v>393</v>
      </c>
      <c r="D293" s="19" t="s">
        <v>50</v>
      </c>
      <c r="E293" s="19" t="s">
        <v>232</v>
      </c>
      <c r="F293" s="20">
        <v>42856</v>
      </c>
      <c r="G293" s="11">
        <v>32</v>
      </c>
      <c r="H293" s="13">
        <f t="shared" si="123"/>
        <v>5161.2903225806449</v>
      </c>
      <c r="I293" s="13">
        <f t="shared" si="129"/>
        <v>0</v>
      </c>
      <c r="J293" s="13">
        <f t="shared" si="139"/>
        <v>258.06451612903226</v>
      </c>
      <c r="L293" s="13">
        <f t="shared" si="140"/>
        <v>825.80645161290317</v>
      </c>
      <c r="N293" s="13">
        <f>((1950+1441-178+1017+0)/G$3)*G293</f>
        <v>4366.4516129032254</v>
      </c>
      <c r="O293" s="13">
        <v>0</v>
      </c>
      <c r="Q293" s="13">
        <f t="shared" si="124"/>
        <v>10611.612903225807</v>
      </c>
      <c r="R293" s="12">
        <f t="shared" si="125"/>
        <v>619.35483870967732</v>
      </c>
      <c r="S293" s="12">
        <f t="shared" si="103"/>
        <v>186</v>
      </c>
      <c r="T293" s="21">
        <v>0</v>
      </c>
      <c r="U293" s="13">
        <v>0</v>
      </c>
      <c r="V293" s="13">
        <f t="shared" si="137"/>
        <v>805.35483870967732</v>
      </c>
      <c r="W293" s="13">
        <f t="shared" si="126"/>
        <v>9806.2580645161288</v>
      </c>
      <c r="Y293" s="13">
        <f t="shared" si="131"/>
        <v>9806.2580645161288</v>
      </c>
      <c r="Z293" s="12">
        <f t="shared" ref="Z293:Z356" si="143">(H293+I293)*13.15%</f>
        <v>678.70967741935488</v>
      </c>
      <c r="AA293" s="12">
        <f t="shared" si="127"/>
        <v>505</v>
      </c>
      <c r="AB293" s="1">
        <f t="shared" si="132"/>
        <v>0</v>
      </c>
      <c r="AC293" s="16">
        <f t="shared" si="138"/>
        <v>1183.7096774193549</v>
      </c>
      <c r="AD293" s="16">
        <f t="shared" si="128"/>
        <v>11795.322580645161</v>
      </c>
    </row>
    <row r="294" spans="1:30" x14ac:dyDescent="0.2">
      <c r="A294" s="10" t="s">
        <v>629</v>
      </c>
      <c r="B294" s="11" t="e">
        <f t="shared" si="134"/>
        <v>#REF!</v>
      </c>
      <c r="C294" s="11" t="s">
        <v>394</v>
      </c>
      <c r="D294" s="19" t="s">
        <v>50</v>
      </c>
      <c r="E294" s="19" t="s">
        <v>484</v>
      </c>
      <c r="F294" s="20">
        <v>42875</v>
      </c>
      <c r="G294" s="11">
        <v>15</v>
      </c>
      <c r="H294" s="13">
        <f t="shared" si="123"/>
        <v>2419.3548387096771</v>
      </c>
      <c r="I294" s="13">
        <f t="shared" si="129"/>
        <v>0</v>
      </c>
      <c r="J294" s="13">
        <f t="shared" si="139"/>
        <v>120.96774193548386</v>
      </c>
      <c r="L294" s="13">
        <f t="shared" si="140"/>
        <v>387.09677419354836</v>
      </c>
      <c r="N294" s="13">
        <f>((1950+1441-178+1017+0)/G$3)*G294</f>
        <v>2046.7741935483868</v>
      </c>
      <c r="O294" s="13">
        <v>0</v>
      </c>
      <c r="Q294" s="13">
        <f t="shared" si="124"/>
        <v>4974.1935483870966</v>
      </c>
      <c r="R294" s="12">
        <f t="shared" si="125"/>
        <v>290.32258064516122</v>
      </c>
      <c r="S294" s="12">
        <f t="shared" si="103"/>
        <v>88</v>
      </c>
      <c r="T294" s="21">
        <v>0</v>
      </c>
      <c r="U294" s="13">
        <v>0</v>
      </c>
      <c r="V294" s="13">
        <f t="shared" si="137"/>
        <v>378.32258064516122</v>
      </c>
      <c r="W294" s="13">
        <f t="shared" si="126"/>
        <v>4595.8709677419356</v>
      </c>
      <c r="Y294" s="13">
        <f t="shared" si="131"/>
        <v>4595.8709677419356</v>
      </c>
      <c r="Z294" s="12">
        <f t="shared" si="143"/>
        <v>318.14516129032256</v>
      </c>
      <c r="AA294" s="12">
        <f t="shared" si="127"/>
        <v>237</v>
      </c>
      <c r="AB294" s="1">
        <f t="shared" si="132"/>
        <v>0</v>
      </c>
      <c r="AC294" s="16">
        <f t="shared" si="138"/>
        <v>555.14516129032256</v>
      </c>
      <c r="AD294" s="16">
        <f t="shared" si="128"/>
        <v>5529.3387096774195</v>
      </c>
    </row>
    <row r="295" spans="1:30" x14ac:dyDescent="0.2">
      <c r="A295" s="10" t="s">
        <v>630</v>
      </c>
      <c r="B295" s="11" t="e">
        <f t="shared" si="134"/>
        <v>#REF!</v>
      </c>
      <c r="C295" s="11" t="s">
        <v>395</v>
      </c>
      <c r="D295" s="19" t="s">
        <v>50</v>
      </c>
      <c r="E295" s="19" t="s">
        <v>234</v>
      </c>
      <c r="F295" s="20">
        <v>42856</v>
      </c>
      <c r="G295" s="11">
        <v>27</v>
      </c>
      <c r="H295" s="13">
        <f t="shared" si="123"/>
        <v>4354.8387096774195</v>
      </c>
      <c r="I295" s="13">
        <f t="shared" si="129"/>
        <v>0</v>
      </c>
      <c r="J295" s="13">
        <f t="shared" si="139"/>
        <v>217.74193548387098</v>
      </c>
      <c r="L295" s="13">
        <f t="shared" si="140"/>
        <v>696.77419354838707</v>
      </c>
      <c r="N295" s="13">
        <f>((1950+1441-178+1017+1018+0)/G$3)*G295</f>
        <v>4570.8387096774195</v>
      </c>
      <c r="O295" s="13">
        <v>0</v>
      </c>
      <c r="Q295" s="13">
        <f t="shared" si="124"/>
        <v>9840.1935483870984</v>
      </c>
      <c r="R295" s="12">
        <f t="shared" si="125"/>
        <v>522.58064516129036</v>
      </c>
      <c r="S295" s="12">
        <f t="shared" si="103"/>
        <v>173</v>
      </c>
      <c r="T295" s="21">
        <v>0</v>
      </c>
      <c r="U295" s="13">
        <v>0</v>
      </c>
      <c r="V295" s="13">
        <f t="shared" si="137"/>
        <v>695.58064516129036</v>
      </c>
      <c r="W295" s="13">
        <f t="shared" si="126"/>
        <v>9144.6129032258086</v>
      </c>
      <c r="Y295" s="13">
        <f t="shared" si="131"/>
        <v>9144.6129032258086</v>
      </c>
      <c r="Z295" s="12">
        <f t="shared" si="143"/>
        <v>572.66129032258073</v>
      </c>
      <c r="AA295" s="12">
        <f t="shared" si="127"/>
        <v>468</v>
      </c>
      <c r="AB295" s="1">
        <f t="shared" si="132"/>
        <v>0</v>
      </c>
      <c r="AC295" s="16">
        <f t="shared" si="138"/>
        <v>1040.6612903225807</v>
      </c>
      <c r="AD295" s="16">
        <f t="shared" si="128"/>
        <v>10880.85483870968</v>
      </c>
    </row>
    <row r="296" spans="1:30" x14ac:dyDescent="0.2">
      <c r="A296" s="10" t="s">
        <v>631</v>
      </c>
      <c r="B296" s="11" t="e">
        <f t="shared" si="134"/>
        <v>#REF!</v>
      </c>
      <c r="C296" s="11" t="s">
        <v>705</v>
      </c>
      <c r="D296" s="19" t="s">
        <v>50</v>
      </c>
      <c r="E296" s="19" t="s">
        <v>238</v>
      </c>
      <c r="F296" s="20">
        <v>42856</v>
      </c>
      <c r="G296" s="11">
        <v>37</v>
      </c>
      <c r="H296" s="13">
        <f t="shared" si="123"/>
        <v>5967.7419354838703</v>
      </c>
      <c r="I296" s="13">
        <f t="shared" si="129"/>
        <v>0</v>
      </c>
      <c r="J296" s="13">
        <f t="shared" si="139"/>
        <v>298.38709677419354</v>
      </c>
      <c r="L296" s="13">
        <f t="shared" si="140"/>
        <v>954.83870967741927</v>
      </c>
      <c r="N296" s="13">
        <f>((1950+1441-178+1017+0)/G$3)*G296</f>
        <v>5048.7096774193542</v>
      </c>
      <c r="O296" s="13">
        <v>0</v>
      </c>
      <c r="Q296" s="13">
        <f t="shared" si="124"/>
        <v>12269.677419354837</v>
      </c>
      <c r="R296" s="12">
        <f t="shared" si="125"/>
        <v>716.1290322580644</v>
      </c>
      <c r="S296" s="12">
        <f t="shared" si="103"/>
        <v>215</v>
      </c>
      <c r="T296" s="21">
        <v>0</v>
      </c>
      <c r="U296" s="13">
        <v>0</v>
      </c>
      <c r="V296" s="13">
        <f t="shared" si="137"/>
        <v>931.1290322580644</v>
      </c>
      <c r="W296" s="13">
        <f t="shared" si="126"/>
        <v>11338.548387096773</v>
      </c>
      <c r="Y296" s="13">
        <f t="shared" si="131"/>
        <v>11338.548387096773</v>
      </c>
      <c r="Z296" s="12">
        <f t="shared" si="143"/>
        <v>784.75806451612902</v>
      </c>
      <c r="AA296" s="12">
        <f t="shared" si="127"/>
        <v>583</v>
      </c>
      <c r="AB296" s="1">
        <f t="shared" si="132"/>
        <v>0</v>
      </c>
      <c r="AC296" s="16">
        <f t="shared" si="138"/>
        <v>1367.758064516129</v>
      </c>
      <c r="AD296" s="16">
        <f t="shared" si="128"/>
        <v>13637.435483870966</v>
      </c>
    </row>
    <row r="297" spans="1:30" x14ac:dyDescent="0.2">
      <c r="A297" s="10" t="s">
        <v>637</v>
      </c>
      <c r="B297" s="11" t="e">
        <f t="shared" si="134"/>
        <v>#REF!</v>
      </c>
      <c r="C297" s="11" t="s">
        <v>402</v>
      </c>
      <c r="D297" s="19" t="s">
        <v>50</v>
      </c>
      <c r="E297" s="19" t="s">
        <v>234</v>
      </c>
      <c r="F297" s="20">
        <v>42856</v>
      </c>
      <c r="G297" s="11">
        <v>25</v>
      </c>
      <c r="H297" s="13">
        <f t="shared" si="123"/>
        <v>4032.2580645161288</v>
      </c>
      <c r="I297" s="13">
        <f t="shared" si="129"/>
        <v>0</v>
      </c>
      <c r="J297" s="13">
        <f t="shared" si="139"/>
        <v>201.61290322580646</v>
      </c>
      <c r="L297" s="13">
        <f t="shared" si="140"/>
        <v>645.16129032258061</v>
      </c>
      <c r="N297" s="13">
        <f>((1950+1441-178+1017+1018+0)/G$3)*G297</f>
        <v>4232.2580645161288</v>
      </c>
      <c r="O297" s="13">
        <v>0</v>
      </c>
      <c r="Q297" s="13">
        <f t="shared" si="124"/>
        <v>9111.290322580644</v>
      </c>
      <c r="R297" s="12">
        <f t="shared" si="125"/>
        <v>483.87096774193543</v>
      </c>
      <c r="S297" s="12">
        <f t="shared" si="103"/>
        <v>160</v>
      </c>
      <c r="T297" s="21">
        <v>0</v>
      </c>
      <c r="U297" s="13">
        <v>0</v>
      </c>
      <c r="V297" s="13">
        <f t="shared" si="137"/>
        <v>643.87096774193537</v>
      </c>
      <c r="W297" s="13">
        <f t="shared" si="126"/>
        <v>8467.4193548387084</v>
      </c>
      <c r="Y297" s="13">
        <f t="shared" si="131"/>
        <v>8467.4193548387084</v>
      </c>
      <c r="Z297" s="12">
        <f t="shared" si="143"/>
        <v>530.24193548387098</v>
      </c>
      <c r="AA297" s="12">
        <f t="shared" si="127"/>
        <v>433</v>
      </c>
      <c r="AB297" s="1">
        <f t="shared" si="132"/>
        <v>0</v>
      </c>
      <c r="AC297" s="16">
        <f t="shared" si="138"/>
        <v>963.24193548387098</v>
      </c>
      <c r="AD297" s="16">
        <f t="shared" si="128"/>
        <v>10074.532258064515</v>
      </c>
    </row>
    <row r="298" spans="1:30" x14ac:dyDescent="0.2">
      <c r="A298" s="10" t="s">
        <v>638</v>
      </c>
      <c r="B298" s="11" t="e">
        <f t="shared" si="134"/>
        <v>#REF!</v>
      </c>
      <c r="C298" s="11" t="s">
        <v>403</v>
      </c>
      <c r="D298" s="19" t="s">
        <v>50</v>
      </c>
      <c r="E298" s="19" t="s">
        <v>484</v>
      </c>
      <c r="F298" s="20">
        <v>42856</v>
      </c>
      <c r="G298" s="11">
        <v>32</v>
      </c>
      <c r="H298" s="13">
        <f t="shared" si="123"/>
        <v>5161.2903225806449</v>
      </c>
      <c r="I298" s="13">
        <f t="shared" si="129"/>
        <v>0</v>
      </c>
      <c r="J298" s="13">
        <f t="shared" si="139"/>
        <v>258.06451612903226</v>
      </c>
      <c r="L298" s="13">
        <f t="shared" si="140"/>
        <v>825.80645161290317</v>
      </c>
      <c r="N298" s="13">
        <f>((1950+1441-178+1017+0)/G$3)*G298</f>
        <v>4366.4516129032254</v>
      </c>
      <c r="O298" s="13">
        <v>0</v>
      </c>
      <c r="Q298" s="13">
        <f t="shared" si="124"/>
        <v>10611.612903225807</v>
      </c>
      <c r="R298" s="12">
        <f t="shared" si="125"/>
        <v>619.35483870967732</v>
      </c>
      <c r="S298" s="12">
        <f t="shared" si="103"/>
        <v>186</v>
      </c>
      <c r="T298" s="21">
        <v>0</v>
      </c>
      <c r="U298" s="13">
        <v>0</v>
      </c>
      <c r="V298" s="13">
        <f t="shared" si="137"/>
        <v>805.35483870967732</v>
      </c>
      <c r="W298" s="13">
        <f t="shared" si="126"/>
        <v>9806.2580645161288</v>
      </c>
      <c r="Y298" s="13">
        <f t="shared" si="131"/>
        <v>9806.2580645161288</v>
      </c>
      <c r="Z298" s="12">
        <f t="shared" si="143"/>
        <v>678.70967741935488</v>
      </c>
      <c r="AA298" s="12">
        <f t="shared" si="127"/>
        <v>505</v>
      </c>
      <c r="AB298" s="1">
        <f t="shared" si="132"/>
        <v>0</v>
      </c>
      <c r="AC298" s="16">
        <f t="shared" si="138"/>
        <v>1183.7096774193549</v>
      </c>
      <c r="AD298" s="16">
        <f t="shared" si="128"/>
        <v>11795.322580645161</v>
      </c>
    </row>
    <row r="299" spans="1:30" x14ac:dyDescent="0.2">
      <c r="A299" s="10" t="s">
        <v>641</v>
      </c>
      <c r="B299" s="11" t="e">
        <f t="shared" si="134"/>
        <v>#REF!</v>
      </c>
      <c r="C299" s="11" t="s">
        <v>406</v>
      </c>
      <c r="D299" s="19" t="s">
        <v>50</v>
      </c>
      <c r="E299" s="11" t="s">
        <v>234</v>
      </c>
      <c r="F299" s="20">
        <v>42856</v>
      </c>
      <c r="G299" s="11">
        <v>26</v>
      </c>
      <c r="H299" s="13">
        <f t="shared" si="123"/>
        <v>4193.5483870967737</v>
      </c>
      <c r="I299" s="13">
        <f t="shared" si="129"/>
        <v>0</v>
      </c>
      <c r="J299" s="13">
        <f t="shared" si="139"/>
        <v>209.67741935483869</v>
      </c>
      <c r="L299" s="13">
        <f t="shared" si="140"/>
        <v>670.96774193548379</v>
      </c>
      <c r="N299" s="13">
        <f>((1950+1441-178+1017+1018+0)/G$3)*G299</f>
        <v>4401.5483870967737</v>
      </c>
      <c r="O299" s="13">
        <v>0</v>
      </c>
      <c r="Q299" s="13">
        <f t="shared" si="124"/>
        <v>9475.7419354838712</v>
      </c>
      <c r="R299" s="12">
        <f t="shared" si="125"/>
        <v>503.22580645161281</v>
      </c>
      <c r="S299" s="12">
        <f t="shared" si="103"/>
        <v>166</v>
      </c>
      <c r="T299" s="21">
        <v>0</v>
      </c>
      <c r="U299" s="13">
        <v>0</v>
      </c>
      <c r="V299" s="13">
        <f t="shared" si="137"/>
        <v>669.22580645161281</v>
      </c>
      <c r="W299" s="13">
        <f t="shared" si="126"/>
        <v>8806.5161290322576</v>
      </c>
      <c r="Y299" s="13">
        <f t="shared" si="131"/>
        <v>8806.5161290322576</v>
      </c>
      <c r="Z299" s="12">
        <f t="shared" si="143"/>
        <v>551.45161290322574</v>
      </c>
      <c r="AA299" s="12">
        <f t="shared" si="127"/>
        <v>451</v>
      </c>
      <c r="AB299" s="1">
        <f t="shared" si="132"/>
        <v>0</v>
      </c>
      <c r="AC299" s="16">
        <f t="shared" si="138"/>
        <v>1002.4516129032257</v>
      </c>
      <c r="AD299" s="16">
        <f t="shared" si="128"/>
        <v>10478.193548387097</v>
      </c>
    </row>
    <row r="300" spans="1:30" x14ac:dyDescent="0.2">
      <c r="A300" s="10" t="s">
        <v>642</v>
      </c>
      <c r="B300" s="11" t="e">
        <f t="shared" si="134"/>
        <v>#REF!</v>
      </c>
      <c r="C300" s="11" t="s">
        <v>407</v>
      </c>
      <c r="D300" s="19" t="s">
        <v>50</v>
      </c>
      <c r="E300" s="19" t="s">
        <v>484</v>
      </c>
      <c r="F300" s="20">
        <v>42856</v>
      </c>
      <c r="G300" s="11">
        <v>15</v>
      </c>
      <c r="H300" s="13">
        <f t="shared" si="123"/>
        <v>2419.3548387096771</v>
      </c>
      <c r="I300" s="13">
        <f t="shared" si="129"/>
        <v>0</v>
      </c>
      <c r="J300" s="13">
        <f t="shared" si="139"/>
        <v>120.96774193548386</v>
      </c>
      <c r="L300" s="13">
        <f t="shared" si="140"/>
        <v>387.09677419354836</v>
      </c>
      <c r="N300" s="13">
        <f>((1950+1441+839+0)/G$3)*G300</f>
        <v>2046.7741935483868</v>
      </c>
      <c r="O300" s="13">
        <v>0</v>
      </c>
      <c r="Q300" s="13">
        <f t="shared" si="124"/>
        <v>4974.1935483870966</v>
      </c>
      <c r="R300" s="12">
        <f t="shared" si="125"/>
        <v>290.32258064516122</v>
      </c>
      <c r="S300" s="12">
        <f t="shared" si="103"/>
        <v>88</v>
      </c>
      <c r="T300" s="21">
        <v>0</v>
      </c>
      <c r="U300" s="13">
        <v>0</v>
      </c>
      <c r="V300" s="13">
        <f t="shared" si="137"/>
        <v>378.32258064516122</v>
      </c>
      <c r="W300" s="13">
        <f t="shared" si="126"/>
        <v>4595.8709677419356</v>
      </c>
      <c r="Y300" s="13">
        <f t="shared" si="131"/>
        <v>4595.8709677419356</v>
      </c>
      <c r="Z300" s="12">
        <f t="shared" si="143"/>
        <v>318.14516129032256</v>
      </c>
      <c r="AA300" s="12">
        <f t="shared" si="127"/>
        <v>237</v>
      </c>
      <c r="AB300" s="1">
        <f t="shared" si="132"/>
        <v>0</v>
      </c>
      <c r="AC300" s="16">
        <f t="shared" si="138"/>
        <v>555.14516129032256</v>
      </c>
      <c r="AD300" s="16">
        <f t="shared" si="128"/>
        <v>5529.3387096774195</v>
      </c>
    </row>
    <row r="301" spans="1:30" x14ac:dyDescent="0.2">
      <c r="A301" s="10" t="s">
        <v>643</v>
      </c>
      <c r="B301" s="11" t="e">
        <f t="shared" si="134"/>
        <v>#REF!</v>
      </c>
      <c r="C301" s="11" t="s">
        <v>408</v>
      </c>
      <c r="D301" s="19" t="s">
        <v>50</v>
      </c>
      <c r="E301" s="11" t="s">
        <v>234</v>
      </c>
      <c r="F301" s="20">
        <v>42856</v>
      </c>
      <c r="G301" s="11">
        <v>33</v>
      </c>
      <c r="H301" s="13">
        <f t="shared" si="123"/>
        <v>5322.5806451612898</v>
      </c>
      <c r="I301" s="13">
        <f t="shared" si="129"/>
        <v>0</v>
      </c>
      <c r="J301" s="13">
        <f t="shared" si="139"/>
        <v>266.12903225806451</v>
      </c>
      <c r="L301" s="13">
        <f t="shared" si="140"/>
        <v>851.61290322580635</v>
      </c>
      <c r="N301" s="13">
        <f>((7793)/G$3)*G301</f>
        <v>8295.7741935483864</v>
      </c>
      <c r="O301" s="13">
        <v>0</v>
      </c>
      <c r="Q301" s="13">
        <f t="shared" si="124"/>
        <v>14736.096774193547</v>
      </c>
      <c r="R301" s="12">
        <f t="shared" si="125"/>
        <v>638.70967741935476</v>
      </c>
      <c r="S301" s="12">
        <f t="shared" si="103"/>
        <v>258</v>
      </c>
      <c r="T301" s="21">
        <v>0</v>
      </c>
      <c r="U301" s="13">
        <v>0</v>
      </c>
      <c r="V301" s="13">
        <f t="shared" si="137"/>
        <v>896.70967741935476</v>
      </c>
      <c r="W301" s="13">
        <f t="shared" si="126"/>
        <v>13839.387096774193</v>
      </c>
      <c r="Y301" s="13">
        <f t="shared" si="131"/>
        <v>13839.387096774193</v>
      </c>
      <c r="Z301" s="12">
        <f t="shared" si="143"/>
        <v>699.91935483870964</v>
      </c>
      <c r="AA301" s="12">
        <f t="shared" si="127"/>
        <v>700</v>
      </c>
      <c r="AB301" s="1">
        <f t="shared" si="132"/>
        <v>0</v>
      </c>
      <c r="AC301" s="16">
        <f t="shared" si="138"/>
        <v>1399.9193548387098</v>
      </c>
      <c r="AD301" s="16">
        <f t="shared" si="128"/>
        <v>16136.016129032258</v>
      </c>
    </row>
    <row r="302" spans="1:30" x14ac:dyDescent="0.2">
      <c r="A302" s="10" t="s">
        <v>644</v>
      </c>
      <c r="B302" s="11" t="e">
        <f t="shared" si="134"/>
        <v>#REF!</v>
      </c>
      <c r="C302" s="11" t="s">
        <v>409</v>
      </c>
      <c r="D302" s="19" t="s">
        <v>50</v>
      </c>
      <c r="E302" s="11" t="s">
        <v>234</v>
      </c>
      <c r="F302" s="20">
        <v>42856</v>
      </c>
      <c r="G302" s="11">
        <v>32</v>
      </c>
      <c r="H302" s="13">
        <f t="shared" si="123"/>
        <v>5161.2903225806449</v>
      </c>
      <c r="I302" s="13">
        <f t="shared" si="129"/>
        <v>0</v>
      </c>
      <c r="J302" s="13">
        <f t="shared" si="139"/>
        <v>258.06451612903226</v>
      </c>
      <c r="L302" s="13">
        <f t="shared" si="140"/>
        <v>825.80645161290317</v>
      </c>
      <c r="N302" s="13">
        <f>((1950+1441-178+1017+1018+0)/G$3)*G302</f>
        <v>5417.2903225806449</v>
      </c>
      <c r="O302" s="13">
        <v>0</v>
      </c>
      <c r="Q302" s="13">
        <f t="shared" si="124"/>
        <v>11662.451612903225</v>
      </c>
      <c r="R302" s="12">
        <f t="shared" si="125"/>
        <v>619.35483870967732</v>
      </c>
      <c r="S302" s="12">
        <f t="shared" si="103"/>
        <v>205</v>
      </c>
      <c r="T302" s="21">
        <v>0</v>
      </c>
      <c r="U302" s="13">
        <v>0</v>
      </c>
      <c r="V302" s="13">
        <f t="shared" si="137"/>
        <v>824.35483870967732</v>
      </c>
      <c r="W302" s="13">
        <f t="shared" si="126"/>
        <v>10838.096774193547</v>
      </c>
      <c r="Y302" s="13">
        <f t="shared" si="131"/>
        <v>10838.096774193547</v>
      </c>
      <c r="Z302" s="12">
        <f t="shared" si="143"/>
        <v>678.70967741935488</v>
      </c>
      <c r="AA302" s="12">
        <f t="shared" si="127"/>
        <v>554</v>
      </c>
      <c r="AB302" s="1">
        <f t="shared" si="132"/>
        <v>0</v>
      </c>
      <c r="AC302" s="16">
        <f t="shared" si="138"/>
        <v>1232.7096774193549</v>
      </c>
      <c r="AD302" s="16">
        <f t="shared" si="128"/>
        <v>12895.16129032258</v>
      </c>
    </row>
    <row r="303" spans="1:30" x14ac:dyDescent="0.2">
      <c r="A303" s="10" t="s">
        <v>801</v>
      </c>
      <c r="B303" s="11" t="e">
        <f>#REF!+1</f>
        <v>#REF!</v>
      </c>
      <c r="C303" s="11" t="s">
        <v>495</v>
      </c>
      <c r="D303" s="19" t="s">
        <v>50</v>
      </c>
      <c r="E303" s="11" t="s">
        <v>581</v>
      </c>
      <c r="F303" s="20">
        <v>42900</v>
      </c>
      <c r="G303" s="11">
        <v>34</v>
      </c>
      <c r="H303" s="13">
        <f t="shared" si="123"/>
        <v>5483.8709677419356</v>
      </c>
      <c r="I303" s="13">
        <f t="shared" si="129"/>
        <v>0</v>
      </c>
      <c r="J303" s="13">
        <f t="shared" si="139"/>
        <v>274.19354838709677</v>
      </c>
      <c r="L303" s="13">
        <f t="shared" si="140"/>
        <v>877.41935483870964</v>
      </c>
      <c r="N303" s="13">
        <f>((1950+1441-178+1017+0)/G$3)*G303</f>
        <v>4639.3548387096771</v>
      </c>
      <c r="O303" s="13">
        <v>0</v>
      </c>
      <c r="Q303" s="13">
        <f t="shared" si="124"/>
        <v>11274.838709677419</v>
      </c>
      <c r="R303" s="12">
        <f t="shared" si="125"/>
        <v>658.0645161290322</v>
      </c>
      <c r="S303" s="12">
        <f t="shared" si="103"/>
        <v>198</v>
      </c>
      <c r="T303" s="21">
        <v>0</v>
      </c>
      <c r="U303" s="13">
        <v>0</v>
      </c>
      <c r="V303" s="13">
        <f t="shared" si="137"/>
        <v>856.0645161290322</v>
      </c>
      <c r="W303" s="13">
        <f t="shared" si="126"/>
        <v>10418.774193548386</v>
      </c>
      <c r="Y303" s="13">
        <f t="shared" si="131"/>
        <v>10418.774193548386</v>
      </c>
      <c r="Z303" s="12">
        <f t="shared" si="143"/>
        <v>721.12903225806451</v>
      </c>
      <c r="AA303" s="12">
        <f t="shared" si="127"/>
        <v>536</v>
      </c>
      <c r="AB303" s="1">
        <f t="shared" si="132"/>
        <v>0</v>
      </c>
      <c r="AC303" s="16">
        <f t="shared" si="138"/>
        <v>1257.1290322580644</v>
      </c>
      <c r="AD303" s="16">
        <f t="shared" si="128"/>
        <v>12531.967741935483</v>
      </c>
    </row>
    <row r="304" spans="1:30" x14ac:dyDescent="0.2">
      <c r="A304" s="10" t="s">
        <v>582</v>
      </c>
      <c r="B304" s="11" t="e">
        <f t="shared" si="134"/>
        <v>#REF!</v>
      </c>
      <c r="C304" s="11" t="s">
        <v>63</v>
      </c>
      <c r="D304" s="19" t="s">
        <v>50</v>
      </c>
      <c r="E304" s="11" t="s">
        <v>581</v>
      </c>
      <c r="F304" s="20">
        <v>42826</v>
      </c>
      <c r="G304" s="11">
        <v>27</v>
      </c>
      <c r="H304" s="13">
        <f t="shared" si="123"/>
        <v>4354.8387096774195</v>
      </c>
      <c r="I304" s="13">
        <f t="shared" si="129"/>
        <v>0</v>
      </c>
      <c r="J304" s="13">
        <f t="shared" si="139"/>
        <v>217.74193548387098</v>
      </c>
      <c r="L304" s="13">
        <f t="shared" si="140"/>
        <v>696.77419354838707</v>
      </c>
      <c r="N304" s="13">
        <f>((1950+1441-178+1017+0)/G$3)*G304</f>
        <v>3684.1935483870966</v>
      </c>
      <c r="O304" s="13">
        <v>0</v>
      </c>
      <c r="Q304" s="13">
        <f t="shared" si="124"/>
        <v>8953.5483870967746</v>
      </c>
      <c r="R304" s="12">
        <f t="shared" si="125"/>
        <v>522.58064516129036</v>
      </c>
      <c r="S304" s="12">
        <f t="shared" si="103"/>
        <v>157</v>
      </c>
      <c r="T304" s="21">
        <v>0</v>
      </c>
      <c r="U304" s="13">
        <v>0</v>
      </c>
      <c r="V304" s="13">
        <f t="shared" si="137"/>
        <v>679.58064516129036</v>
      </c>
      <c r="W304" s="13">
        <f t="shared" si="126"/>
        <v>8273.9677419354848</v>
      </c>
      <c r="Y304" s="13">
        <f t="shared" si="131"/>
        <v>8273.9677419354848</v>
      </c>
      <c r="Z304" s="12">
        <f t="shared" si="143"/>
        <v>572.66129032258073</v>
      </c>
      <c r="AA304" s="12">
        <f t="shared" si="127"/>
        <v>426</v>
      </c>
      <c r="AB304" s="1">
        <f t="shared" si="132"/>
        <v>0</v>
      </c>
      <c r="AC304" s="16">
        <f t="shared" si="138"/>
        <v>998.66129032258073</v>
      </c>
      <c r="AD304" s="16">
        <f t="shared" si="128"/>
        <v>9952.209677419356</v>
      </c>
    </row>
    <row r="305" spans="1:31" x14ac:dyDescent="0.2">
      <c r="A305" s="10" t="s">
        <v>803</v>
      </c>
      <c r="B305" s="11" t="e">
        <f>#REF!+1</f>
        <v>#REF!</v>
      </c>
      <c r="C305" s="11" t="s">
        <v>503</v>
      </c>
      <c r="D305" s="19" t="s">
        <v>50</v>
      </c>
      <c r="E305" s="11" t="s">
        <v>234</v>
      </c>
      <c r="F305" s="20">
        <v>42900</v>
      </c>
      <c r="G305" s="11">
        <v>37</v>
      </c>
      <c r="H305" s="13">
        <f t="shared" si="123"/>
        <v>5967.7419354838703</v>
      </c>
      <c r="I305" s="13">
        <f t="shared" si="129"/>
        <v>0</v>
      </c>
      <c r="J305" s="13">
        <f t="shared" si="139"/>
        <v>298.38709677419354</v>
      </c>
      <c r="L305" s="13">
        <f t="shared" si="140"/>
        <v>954.83870967741927</v>
      </c>
      <c r="N305" s="13">
        <f t="shared" ref="N305:N317" si="144">((1950+1441-178+1017+1018+0)/G$3)*G305</f>
        <v>6263.7419354838703</v>
      </c>
      <c r="O305" s="13">
        <v>0</v>
      </c>
      <c r="Q305" s="13">
        <f t="shared" si="124"/>
        <v>13484.709677419352</v>
      </c>
      <c r="R305" s="12">
        <f t="shared" si="125"/>
        <v>716.1290322580644</v>
      </c>
      <c r="S305" s="12">
        <f t="shared" si="103"/>
        <v>236</v>
      </c>
      <c r="T305" s="21">
        <v>0</v>
      </c>
      <c r="U305" s="13">
        <v>0</v>
      </c>
      <c r="V305" s="13">
        <f t="shared" si="137"/>
        <v>952.1290322580644</v>
      </c>
      <c r="W305" s="13">
        <f t="shared" si="126"/>
        <v>12532.580645161288</v>
      </c>
      <c r="Y305" s="13">
        <f t="shared" si="131"/>
        <v>12532.580645161288</v>
      </c>
      <c r="Z305" s="12">
        <f t="shared" si="143"/>
        <v>784.75806451612902</v>
      </c>
      <c r="AA305" s="12">
        <f t="shared" si="127"/>
        <v>641</v>
      </c>
      <c r="AB305" s="1">
        <f t="shared" si="132"/>
        <v>0</v>
      </c>
      <c r="AC305" s="16">
        <f t="shared" si="138"/>
        <v>1425.758064516129</v>
      </c>
      <c r="AD305" s="16">
        <f t="shared" si="128"/>
        <v>14910.467741935481</v>
      </c>
    </row>
    <row r="306" spans="1:31" x14ac:dyDescent="0.2">
      <c r="A306" s="10" t="s">
        <v>804</v>
      </c>
      <c r="B306" s="11" t="e">
        <f t="shared" si="134"/>
        <v>#REF!</v>
      </c>
      <c r="C306" s="11" t="s">
        <v>505</v>
      </c>
      <c r="D306" s="19" t="s">
        <v>50</v>
      </c>
      <c r="E306" s="11" t="s">
        <v>234</v>
      </c>
      <c r="F306" s="20">
        <v>42887</v>
      </c>
      <c r="G306" s="11">
        <v>12</v>
      </c>
      <c r="H306" s="13">
        <f t="shared" si="123"/>
        <v>1935.483870967742</v>
      </c>
      <c r="I306" s="13">
        <f t="shared" si="129"/>
        <v>0</v>
      </c>
      <c r="J306" s="13">
        <f t="shared" si="139"/>
        <v>96.774193548387103</v>
      </c>
      <c r="L306" s="13">
        <f t="shared" si="140"/>
        <v>309.67741935483866</v>
      </c>
      <c r="N306" s="13">
        <f t="shared" si="144"/>
        <v>2031.483870967742</v>
      </c>
      <c r="O306" s="13">
        <v>0</v>
      </c>
      <c r="Q306" s="13">
        <f t="shared" si="124"/>
        <v>4373.4193548387102</v>
      </c>
      <c r="R306" s="12">
        <f t="shared" si="125"/>
        <v>232.25806451612902</v>
      </c>
      <c r="S306" s="12">
        <f t="shared" si="103"/>
        <v>77</v>
      </c>
      <c r="T306" s="21">
        <v>0</v>
      </c>
      <c r="U306" s="13">
        <v>0</v>
      </c>
      <c r="V306" s="13">
        <f t="shared" si="137"/>
        <v>309.25806451612902</v>
      </c>
      <c r="W306" s="13">
        <f t="shared" si="126"/>
        <v>4064.1612903225814</v>
      </c>
      <c r="Y306" s="13">
        <f t="shared" si="131"/>
        <v>4064.1612903225814</v>
      </c>
      <c r="Z306" s="12">
        <f t="shared" si="143"/>
        <v>254.51612903225808</v>
      </c>
      <c r="AA306" s="12">
        <f t="shared" si="127"/>
        <v>208</v>
      </c>
      <c r="AB306" s="1">
        <f t="shared" si="132"/>
        <v>0</v>
      </c>
      <c r="AC306" s="16">
        <f t="shared" si="138"/>
        <v>462.51612903225805</v>
      </c>
      <c r="AD306" s="16">
        <f t="shared" si="128"/>
        <v>4835.9354838709678</v>
      </c>
    </row>
    <row r="307" spans="1:31" x14ac:dyDescent="0.2">
      <c r="A307" s="10" t="s">
        <v>584</v>
      </c>
      <c r="B307" s="11" t="e">
        <f t="shared" si="134"/>
        <v>#REF!</v>
      </c>
      <c r="C307" s="11" t="s">
        <v>511</v>
      </c>
      <c r="D307" s="19" t="s">
        <v>50</v>
      </c>
      <c r="E307" s="11" t="s">
        <v>234</v>
      </c>
      <c r="F307" s="20">
        <v>42486</v>
      </c>
      <c r="G307" s="11">
        <v>37</v>
      </c>
      <c r="H307" s="13">
        <f t="shared" si="123"/>
        <v>5967.7419354838703</v>
      </c>
      <c r="I307" s="13">
        <f t="shared" si="129"/>
        <v>0</v>
      </c>
      <c r="J307" s="13">
        <f t="shared" si="139"/>
        <v>298.38709677419354</v>
      </c>
      <c r="L307" s="13">
        <f t="shared" si="140"/>
        <v>954.83870967741927</v>
      </c>
      <c r="N307" s="13">
        <f t="shared" si="144"/>
        <v>6263.7419354838703</v>
      </c>
      <c r="O307" s="13">
        <v>0</v>
      </c>
      <c r="Q307" s="13">
        <f t="shared" si="124"/>
        <v>13484.709677419352</v>
      </c>
      <c r="R307" s="12">
        <f t="shared" si="125"/>
        <v>716.1290322580644</v>
      </c>
      <c r="S307" s="12">
        <f t="shared" si="103"/>
        <v>236</v>
      </c>
      <c r="T307" s="21">
        <v>0</v>
      </c>
      <c r="U307" s="13">
        <v>0</v>
      </c>
      <c r="V307" s="13">
        <f t="shared" si="137"/>
        <v>952.1290322580644</v>
      </c>
      <c r="W307" s="13">
        <f t="shared" si="126"/>
        <v>12532.580645161288</v>
      </c>
      <c r="Y307" s="13">
        <f t="shared" si="131"/>
        <v>12532.580645161288</v>
      </c>
      <c r="Z307" s="12">
        <f t="shared" si="143"/>
        <v>784.75806451612902</v>
      </c>
      <c r="AA307" s="12">
        <f t="shared" si="127"/>
        <v>641</v>
      </c>
      <c r="AB307" s="1">
        <f t="shared" si="132"/>
        <v>0</v>
      </c>
      <c r="AC307" s="16">
        <f t="shared" si="138"/>
        <v>1425.758064516129</v>
      </c>
      <c r="AD307" s="16">
        <f t="shared" si="128"/>
        <v>14910.467741935481</v>
      </c>
    </row>
    <row r="308" spans="1:31" x14ac:dyDescent="0.2">
      <c r="A308" s="10" t="s">
        <v>806</v>
      </c>
      <c r="B308" s="11" t="e">
        <f t="shared" si="134"/>
        <v>#REF!</v>
      </c>
      <c r="C308" s="11" t="s">
        <v>512</v>
      </c>
      <c r="D308" s="19" t="s">
        <v>50</v>
      </c>
      <c r="E308" s="11" t="s">
        <v>234</v>
      </c>
      <c r="F308" s="20">
        <v>42887</v>
      </c>
      <c r="G308" s="11">
        <v>27</v>
      </c>
      <c r="H308" s="13">
        <f t="shared" si="123"/>
        <v>4354.8387096774195</v>
      </c>
      <c r="I308" s="13">
        <f t="shared" si="129"/>
        <v>0</v>
      </c>
      <c r="J308" s="13">
        <f t="shared" si="139"/>
        <v>217.74193548387098</v>
      </c>
      <c r="L308" s="13">
        <f t="shared" si="140"/>
        <v>696.77419354838707</v>
      </c>
      <c r="N308" s="13">
        <f t="shared" si="144"/>
        <v>4570.8387096774195</v>
      </c>
      <c r="O308" s="13">
        <v>0</v>
      </c>
      <c r="Q308" s="13">
        <f t="shared" si="124"/>
        <v>9840.1935483870984</v>
      </c>
      <c r="R308" s="12">
        <f t="shared" si="125"/>
        <v>522.58064516129036</v>
      </c>
      <c r="S308" s="12">
        <f t="shared" si="103"/>
        <v>173</v>
      </c>
      <c r="T308" s="21">
        <v>0</v>
      </c>
      <c r="U308" s="13">
        <v>0</v>
      </c>
      <c r="V308" s="13">
        <f t="shared" si="137"/>
        <v>695.58064516129036</v>
      </c>
      <c r="W308" s="13">
        <f t="shared" si="126"/>
        <v>9144.6129032258086</v>
      </c>
      <c r="Y308" s="13">
        <f t="shared" si="131"/>
        <v>9144.6129032258086</v>
      </c>
      <c r="Z308" s="12">
        <f t="shared" si="143"/>
        <v>572.66129032258073</v>
      </c>
      <c r="AA308" s="12">
        <f t="shared" si="127"/>
        <v>468</v>
      </c>
      <c r="AB308" s="1">
        <f t="shared" si="132"/>
        <v>0</v>
      </c>
      <c r="AC308" s="16">
        <f t="shared" si="138"/>
        <v>1040.6612903225807</v>
      </c>
      <c r="AD308" s="16">
        <f t="shared" si="128"/>
        <v>10880.85483870968</v>
      </c>
    </row>
    <row r="309" spans="1:31" x14ac:dyDescent="0.2">
      <c r="A309" s="10" t="s">
        <v>807</v>
      </c>
      <c r="B309" s="11" t="e">
        <f t="shared" si="134"/>
        <v>#REF!</v>
      </c>
      <c r="C309" s="11" t="s">
        <v>519</v>
      </c>
      <c r="D309" s="19" t="s">
        <v>50</v>
      </c>
      <c r="E309" s="11" t="s">
        <v>234</v>
      </c>
      <c r="F309" s="20">
        <v>42895</v>
      </c>
      <c r="G309" s="11">
        <v>28</v>
      </c>
      <c r="H309" s="13">
        <f t="shared" si="123"/>
        <v>4516.1290322580644</v>
      </c>
      <c r="I309" s="13">
        <f t="shared" si="129"/>
        <v>0</v>
      </c>
      <c r="J309" s="13">
        <f t="shared" si="139"/>
        <v>225.80645161290323</v>
      </c>
      <c r="L309" s="13">
        <f t="shared" si="140"/>
        <v>722.58064516129025</v>
      </c>
      <c r="N309" s="13">
        <f t="shared" si="144"/>
        <v>4740.1290322580644</v>
      </c>
      <c r="O309" s="13">
        <v>0</v>
      </c>
      <c r="Q309" s="13">
        <f t="shared" si="124"/>
        <v>10204.645161290322</v>
      </c>
      <c r="R309" s="12">
        <f t="shared" si="125"/>
        <v>541.93548387096769</v>
      </c>
      <c r="S309" s="12">
        <f t="shared" si="103"/>
        <v>179</v>
      </c>
      <c r="T309" s="21">
        <v>0</v>
      </c>
      <c r="U309" s="13">
        <v>0</v>
      </c>
      <c r="V309" s="13">
        <f t="shared" si="137"/>
        <v>720.93548387096769</v>
      </c>
      <c r="W309" s="13">
        <f t="shared" si="126"/>
        <v>9483.7096774193542</v>
      </c>
      <c r="Y309" s="13">
        <f t="shared" si="131"/>
        <v>9483.7096774193542</v>
      </c>
      <c r="Z309" s="12">
        <f t="shared" si="143"/>
        <v>593.87096774193549</v>
      </c>
      <c r="AA309" s="12">
        <f t="shared" si="127"/>
        <v>485</v>
      </c>
      <c r="AB309" s="1">
        <f t="shared" si="132"/>
        <v>0</v>
      </c>
      <c r="AC309" s="16">
        <f t="shared" si="138"/>
        <v>1078.8709677419356</v>
      </c>
      <c r="AD309" s="16">
        <f t="shared" si="128"/>
        <v>11283.516129032258</v>
      </c>
    </row>
    <row r="310" spans="1:31" x14ac:dyDescent="0.2">
      <c r="A310" s="10" t="s">
        <v>808</v>
      </c>
      <c r="B310" s="11" t="e">
        <f t="shared" si="134"/>
        <v>#REF!</v>
      </c>
      <c r="C310" s="11" t="s">
        <v>492</v>
      </c>
      <c r="D310" s="19" t="s">
        <v>50</v>
      </c>
      <c r="E310" s="11" t="s">
        <v>234</v>
      </c>
      <c r="F310" s="20">
        <v>42899</v>
      </c>
      <c r="G310" s="11">
        <v>37</v>
      </c>
      <c r="H310" s="13">
        <f t="shared" si="123"/>
        <v>5967.7419354838703</v>
      </c>
      <c r="I310" s="13">
        <f t="shared" si="129"/>
        <v>0</v>
      </c>
      <c r="J310" s="13">
        <f t="shared" si="139"/>
        <v>298.38709677419354</v>
      </c>
      <c r="L310" s="13">
        <f t="shared" si="140"/>
        <v>954.83870967741927</v>
      </c>
      <c r="N310" s="13">
        <f t="shared" si="144"/>
        <v>6263.7419354838703</v>
      </c>
      <c r="O310" s="13">
        <v>0</v>
      </c>
      <c r="Q310" s="13">
        <f t="shared" si="124"/>
        <v>13484.709677419352</v>
      </c>
      <c r="R310" s="12">
        <f t="shared" si="125"/>
        <v>716.1290322580644</v>
      </c>
      <c r="S310" s="12">
        <f t="shared" si="103"/>
        <v>236</v>
      </c>
      <c r="T310" s="21">
        <v>0</v>
      </c>
      <c r="U310" s="13">
        <v>0</v>
      </c>
      <c r="V310" s="13">
        <f t="shared" si="137"/>
        <v>952.1290322580644</v>
      </c>
      <c r="W310" s="13">
        <f t="shared" si="126"/>
        <v>12532.580645161288</v>
      </c>
      <c r="Y310" s="13">
        <f t="shared" si="131"/>
        <v>12532.580645161288</v>
      </c>
      <c r="Z310" s="12">
        <f t="shared" si="143"/>
        <v>784.75806451612902</v>
      </c>
      <c r="AA310" s="12">
        <f t="shared" si="127"/>
        <v>641</v>
      </c>
      <c r="AB310" s="1">
        <f t="shared" si="132"/>
        <v>0</v>
      </c>
      <c r="AC310" s="16">
        <f t="shared" si="138"/>
        <v>1425.758064516129</v>
      </c>
      <c r="AD310" s="16">
        <f t="shared" si="128"/>
        <v>14910.467741935481</v>
      </c>
    </row>
    <row r="311" spans="1:31" x14ac:dyDescent="0.2">
      <c r="A311" s="10" t="s">
        <v>809</v>
      </c>
      <c r="B311" s="11" t="e">
        <f t="shared" si="134"/>
        <v>#REF!</v>
      </c>
      <c r="C311" s="11" t="s">
        <v>712</v>
      </c>
      <c r="D311" s="19" t="s">
        <v>50</v>
      </c>
      <c r="E311" s="11" t="s">
        <v>234</v>
      </c>
      <c r="F311" s="20">
        <v>42887</v>
      </c>
      <c r="G311" s="11">
        <v>32</v>
      </c>
      <c r="H311" s="13">
        <f t="shared" si="123"/>
        <v>5161.2903225806449</v>
      </c>
      <c r="I311" s="13">
        <f t="shared" si="129"/>
        <v>0</v>
      </c>
      <c r="J311" s="13">
        <f t="shared" si="139"/>
        <v>258.06451612903226</v>
      </c>
      <c r="L311" s="13">
        <f t="shared" si="140"/>
        <v>825.80645161290317</v>
      </c>
      <c r="N311" s="13">
        <f t="shared" si="144"/>
        <v>5417.2903225806449</v>
      </c>
      <c r="O311" s="13">
        <v>0</v>
      </c>
      <c r="Q311" s="13">
        <f t="shared" si="124"/>
        <v>11662.451612903225</v>
      </c>
      <c r="R311" s="12">
        <f t="shared" si="125"/>
        <v>619.35483870967732</v>
      </c>
      <c r="S311" s="12">
        <f t="shared" si="103"/>
        <v>205</v>
      </c>
      <c r="T311" s="21">
        <v>0</v>
      </c>
      <c r="U311" s="13">
        <v>0</v>
      </c>
      <c r="V311" s="13">
        <f t="shared" si="137"/>
        <v>824.35483870967732</v>
      </c>
      <c r="W311" s="13">
        <f t="shared" si="126"/>
        <v>10838.096774193547</v>
      </c>
      <c r="Y311" s="13">
        <f t="shared" si="131"/>
        <v>10838.096774193547</v>
      </c>
      <c r="Z311" s="12">
        <f t="shared" si="143"/>
        <v>678.70967741935488</v>
      </c>
      <c r="AA311" s="12">
        <f t="shared" si="127"/>
        <v>554</v>
      </c>
      <c r="AB311" s="1">
        <f t="shared" si="132"/>
        <v>0</v>
      </c>
      <c r="AC311" s="16">
        <f t="shared" si="138"/>
        <v>1232.7096774193549</v>
      </c>
      <c r="AD311" s="16">
        <f t="shared" si="128"/>
        <v>12895.16129032258</v>
      </c>
    </row>
    <row r="312" spans="1:31" x14ac:dyDescent="0.2">
      <c r="A312" s="10" t="s">
        <v>810</v>
      </c>
      <c r="B312" s="11" t="e">
        <f t="shared" si="134"/>
        <v>#REF!</v>
      </c>
      <c r="C312" s="11" t="s">
        <v>533</v>
      </c>
      <c r="D312" s="19" t="s">
        <v>50</v>
      </c>
      <c r="E312" s="11" t="s">
        <v>234</v>
      </c>
      <c r="F312" s="20">
        <v>42887</v>
      </c>
      <c r="G312" s="11">
        <v>3</v>
      </c>
      <c r="H312" s="13">
        <f t="shared" si="123"/>
        <v>483.87096774193549</v>
      </c>
      <c r="I312" s="13">
        <f t="shared" si="129"/>
        <v>0</v>
      </c>
      <c r="J312" s="13">
        <f t="shared" si="139"/>
        <v>24.193548387096776</v>
      </c>
      <c r="L312" s="13">
        <f t="shared" si="140"/>
        <v>77.419354838709666</v>
      </c>
      <c r="N312" s="13">
        <f t="shared" si="144"/>
        <v>507.87096774193549</v>
      </c>
      <c r="O312" s="13">
        <v>0</v>
      </c>
      <c r="Q312" s="13">
        <f t="shared" si="124"/>
        <v>1093.3548387096776</v>
      </c>
      <c r="R312" s="12">
        <f t="shared" si="125"/>
        <v>58.064516129032256</v>
      </c>
      <c r="S312" s="12">
        <f t="shared" si="103"/>
        <v>20</v>
      </c>
      <c r="T312" s="21">
        <v>0</v>
      </c>
      <c r="U312" s="13">
        <v>0</v>
      </c>
      <c r="V312" s="13">
        <f t="shared" si="137"/>
        <v>78.064516129032256</v>
      </c>
      <c r="W312" s="13">
        <f t="shared" si="126"/>
        <v>1015.2903225806454</v>
      </c>
      <c r="Y312" s="13">
        <f t="shared" si="131"/>
        <v>1015.2903225806454</v>
      </c>
      <c r="Z312" s="12">
        <f t="shared" si="143"/>
        <v>63.62903225806452</v>
      </c>
      <c r="AA312" s="12">
        <f t="shared" si="127"/>
        <v>52</v>
      </c>
      <c r="AB312" s="1">
        <f t="shared" si="132"/>
        <v>0</v>
      </c>
      <c r="AC312" s="16">
        <f t="shared" si="138"/>
        <v>115.62903225806451</v>
      </c>
      <c r="AD312" s="16">
        <f t="shared" si="128"/>
        <v>1208.983870967742</v>
      </c>
    </row>
    <row r="313" spans="1:31" x14ac:dyDescent="0.2">
      <c r="A313" s="10" t="s">
        <v>811</v>
      </c>
      <c r="B313" s="11" t="e">
        <f t="shared" si="134"/>
        <v>#REF!</v>
      </c>
      <c r="C313" s="11" t="s">
        <v>532</v>
      </c>
      <c r="D313" s="19" t="s">
        <v>50</v>
      </c>
      <c r="E313" s="11" t="s">
        <v>234</v>
      </c>
      <c r="F313" s="20">
        <v>42890</v>
      </c>
      <c r="G313" s="11">
        <v>7</v>
      </c>
      <c r="H313" s="13">
        <f t="shared" si="123"/>
        <v>1129.0322580645161</v>
      </c>
      <c r="I313" s="13">
        <f t="shared" si="129"/>
        <v>0</v>
      </c>
      <c r="J313" s="13">
        <f t="shared" si="139"/>
        <v>56.451612903225808</v>
      </c>
      <c r="L313" s="13">
        <f t="shared" si="140"/>
        <v>180.64516129032256</v>
      </c>
      <c r="N313" s="13">
        <f t="shared" si="144"/>
        <v>1185.0322580645161</v>
      </c>
      <c r="O313" s="13">
        <v>0</v>
      </c>
      <c r="Q313" s="13">
        <f t="shared" si="124"/>
        <v>2551.1612903225805</v>
      </c>
      <c r="R313" s="12">
        <f t="shared" si="125"/>
        <v>135.48387096774192</v>
      </c>
      <c r="S313" s="12">
        <f t="shared" si="103"/>
        <v>45</v>
      </c>
      <c r="T313" s="21">
        <v>0</v>
      </c>
      <c r="U313" s="13">
        <v>0</v>
      </c>
      <c r="V313" s="13">
        <f t="shared" si="137"/>
        <v>180.48387096774192</v>
      </c>
      <c r="W313" s="13">
        <f t="shared" si="126"/>
        <v>2370.6774193548385</v>
      </c>
      <c r="Y313" s="13">
        <f t="shared" si="131"/>
        <v>2370.6774193548385</v>
      </c>
      <c r="Z313" s="12">
        <f t="shared" si="143"/>
        <v>148.46774193548387</v>
      </c>
      <c r="AA313" s="12">
        <f t="shared" si="127"/>
        <v>122</v>
      </c>
      <c r="AB313" s="1">
        <f t="shared" si="132"/>
        <v>0</v>
      </c>
      <c r="AC313" s="16">
        <f t="shared" si="138"/>
        <v>270.4677419354839</v>
      </c>
      <c r="AD313" s="16">
        <f t="shared" si="128"/>
        <v>2821.6290322580644</v>
      </c>
    </row>
    <row r="314" spans="1:31" x14ac:dyDescent="0.2">
      <c r="A314" s="10" t="s">
        <v>812</v>
      </c>
      <c r="B314" s="11" t="e">
        <f t="shared" si="134"/>
        <v>#REF!</v>
      </c>
      <c r="C314" s="11" t="s">
        <v>535</v>
      </c>
      <c r="D314" s="19" t="s">
        <v>50</v>
      </c>
      <c r="E314" s="11" t="s">
        <v>234</v>
      </c>
      <c r="F314" s="20">
        <v>42891</v>
      </c>
      <c r="G314" s="11">
        <v>25</v>
      </c>
      <c r="H314" s="13">
        <f t="shared" si="123"/>
        <v>4032.2580645161288</v>
      </c>
      <c r="I314" s="13">
        <f t="shared" si="129"/>
        <v>0</v>
      </c>
      <c r="J314" s="13">
        <f t="shared" si="139"/>
        <v>201.61290322580646</v>
      </c>
      <c r="L314" s="13">
        <f t="shared" si="140"/>
        <v>645.16129032258061</v>
      </c>
      <c r="N314" s="13">
        <f t="shared" si="144"/>
        <v>4232.2580645161288</v>
      </c>
      <c r="O314" s="13">
        <v>0</v>
      </c>
      <c r="Q314" s="13">
        <f t="shared" si="124"/>
        <v>9111.290322580644</v>
      </c>
      <c r="R314" s="12">
        <f t="shared" si="125"/>
        <v>483.87096774193543</v>
      </c>
      <c r="S314" s="12">
        <f t="shared" si="103"/>
        <v>160</v>
      </c>
      <c r="T314" s="21">
        <v>0</v>
      </c>
      <c r="U314" s="13">
        <v>0</v>
      </c>
      <c r="V314" s="13">
        <f t="shared" si="137"/>
        <v>643.87096774193537</v>
      </c>
      <c r="W314" s="13">
        <f t="shared" si="126"/>
        <v>8467.4193548387084</v>
      </c>
      <c r="Y314" s="13">
        <f t="shared" si="131"/>
        <v>8467.4193548387084</v>
      </c>
      <c r="Z314" s="12">
        <f t="shared" si="143"/>
        <v>530.24193548387098</v>
      </c>
      <c r="AA314" s="12">
        <f t="shared" si="127"/>
        <v>433</v>
      </c>
      <c r="AB314" s="1">
        <f t="shared" si="132"/>
        <v>0</v>
      </c>
      <c r="AC314" s="16">
        <f t="shared" si="138"/>
        <v>963.24193548387098</v>
      </c>
      <c r="AD314" s="16">
        <f t="shared" si="128"/>
        <v>10074.532258064515</v>
      </c>
    </row>
    <row r="315" spans="1:31" x14ac:dyDescent="0.2">
      <c r="A315" s="10" t="s">
        <v>813</v>
      </c>
      <c r="B315" s="11" t="e">
        <f t="shared" si="134"/>
        <v>#REF!</v>
      </c>
      <c r="C315" s="11" t="s">
        <v>710</v>
      </c>
      <c r="D315" s="19" t="s">
        <v>50</v>
      </c>
      <c r="E315" s="11" t="s">
        <v>234</v>
      </c>
      <c r="F315" s="20">
        <v>42892</v>
      </c>
      <c r="G315" s="11">
        <v>33</v>
      </c>
      <c r="H315" s="13">
        <f t="shared" si="123"/>
        <v>5322.5806451612898</v>
      </c>
      <c r="I315" s="13">
        <f t="shared" si="129"/>
        <v>0</v>
      </c>
      <c r="J315" s="13">
        <f t="shared" si="139"/>
        <v>266.12903225806451</v>
      </c>
      <c r="L315" s="13">
        <f t="shared" si="140"/>
        <v>851.61290322580635</v>
      </c>
      <c r="N315" s="13">
        <f t="shared" si="144"/>
        <v>5586.5806451612898</v>
      </c>
      <c r="O315" s="13">
        <v>0</v>
      </c>
      <c r="Q315" s="13">
        <f t="shared" ref="Q315:Q365" si="145">SUM(H315:P315)</f>
        <v>12026.903225806451</v>
      </c>
      <c r="R315" s="12">
        <f t="shared" si="125"/>
        <v>638.70967741935476</v>
      </c>
      <c r="S315" s="12">
        <f t="shared" si="103"/>
        <v>211</v>
      </c>
      <c r="T315" s="21">
        <v>0</v>
      </c>
      <c r="U315" s="13">
        <v>0</v>
      </c>
      <c r="V315" s="13">
        <f t="shared" si="137"/>
        <v>849.70967741935476</v>
      </c>
      <c r="W315" s="13">
        <f t="shared" si="126"/>
        <v>11177.193548387097</v>
      </c>
      <c r="Y315" s="13">
        <f t="shared" si="131"/>
        <v>11177.193548387097</v>
      </c>
      <c r="Z315" s="12">
        <f t="shared" si="143"/>
        <v>699.91935483870964</v>
      </c>
      <c r="AA315" s="12">
        <f t="shared" si="127"/>
        <v>572</v>
      </c>
      <c r="AB315" s="1">
        <f t="shared" si="132"/>
        <v>0</v>
      </c>
      <c r="AC315" s="16">
        <f t="shared" si="138"/>
        <v>1271.9193548387098</v>
      </c>
      <c r="AD315" s="16">
        <f t="shared" si="128"/>
        <v>13298.822580645161</v>
      </c>
    </row>
    <row r="316" spans="1:31" x14ac:dyDescent="0.2">
      <c r="A316" s="10" t="s">
        <v>814</v>
      </c>
      <c r="B316" s="11" t="e">
        <f t="shared" si="134"/>
        <v>#REF!</v>
      </c>
      <c r="C316" s="11" t="s">
        <v>538</v>
      </c>
      <c r="D316" s="19" t="s">
        <v>50</v>
      </c>
      <c r="E316" s="11" t="s">
        <v>234</v>
      </c>
      <c r="F316" s="20">
        <v>42887</v>
      </c>
      <c r="G316" s="11">
        <v>8</v>
      </c>
      <c r="H316" s="13">
        <f t="shared" si="123"/>
        <v>1290.3225806451612</v>
      </c>
      <c r="I316" s="13">
        <f t="shared" si="129"/>
        <v>0</v>
      </c>
      <c r="J316" s="13">
        <f t="shared" si="139"/>
        <v>64.516129032258064</v>
      </c>
      <c r="L316" s="13">
        <f t="shared" si="140"/>
        <v>206.45161290322579</v>
      </c>
      <c r="N316" s="13">
        <f t="shared" si="144"/>
        <v>1354.3225806451612</v>
      </c>
      <c r="O316" s="13">
        <v>0</v>
      </c>
      <c r="Q316" s="13">
        <f t="shared" si="145"/>
        <v>2915.6129032258063</v>
      </c>
      <c r="R316" s="12">
        <f t="shared" si="125"/>
        <v>154.83870967741933</v>
      </c>
      <c r="S316" s="12">
        <f t="shared" si="103"/>
        <v>52</v>
      </c>
      <c r="T316" s="21">
        <v>0</v>
      </c>
      <c r="U316" s="13">
        <v>0</v>
      </c>
      <c r="V316" s="13">
        <f t="shared" si="137"/>
        <v>206.83870967741933</v>
      </c>
      <c r="W316" s="13">
        <f t="shared" si="126"/>
        <v>2708.7741935483868</v>
      </c>
      <c r="Y316" s="13">
        <f t="shared" si="131"/>
        <v>2708.7741935483868</v>
      </c>
      <c r="Z316" s="12">
        <f t="shared" si="143"/>
        <v>169.67741935483872</v>
      </c>
      <c r="AA316" s="12">
        <f t="shared" si="127"/>
        <v>139</v>
      </c>
      <c r="AB316" s="1">
        <f t="shared" si="132"/>
        <v>0</v>
      </c>
      <c r="AC316" s="16">
        <f t="shared" si="138"/>
        <v>308.67741935483872</v>
      </c>
      <c r="AD316" s="16">
        <f t="shared" si="128"/>
        <v>3224.2903225806449</v>
      </c>
    </row>
    <row r="317" spans="1:31" x14ac:dyDescent="0.2">
      <c r="A317" s="10" t="s">
        <v>815</v>
      </c>
      <c r="B317" s="11" t="e">
        <f t="shared" si="134"/>
        <v>#REF!</v>
      </c>
      <c r="C317" s="11" t="s">
        <v>541</v>
      </c>
      <c r="D317" s="19" t="s">
        <v>50</v>
      </c>
      <c r="E317" s="11" t="s">
        <v>234</v>
      </c>
      <c r="F317" s="20">
        <v>42887</v>
      </c>
      <c r="G317" s="11">
        <v>22</v>
      </c>
      <c r="H317" s="13">
        <f t="shared" ref="H317:H380" si="146">(5000/G$3)*G317</f>
        <v>3548.3870967741932</v>
      </c>
      <c r="I317" s="13">
        <f t="shared" si="129"/>
        <v>0</v>
      </c>
      <c r="J317" s="13">
        <f t="shared" si="139"/>
        <v>177.41935483870967</v>
      </c>
      <c r="L317" s="13">
        <f t="shared" si="140"/>
        <v>567.74193548387098</v>
      </c>
      <c r="N317" s="13">
        <f t="shared" si="144"/>
        <v>3724.3870967741932</v>
      </c>
      <c r="O317" s="13">
        <v>0</v>
      </c>
      <c r="Q317" s="13">
        <f t="shared" si="145"/>
        <v>8017.9354838709669</v>
      </c>
      <c r="R317" s="12">
        <f t="shared" si="125"/>
        <v>425.80645161290317</v>
      </c>
      <c r="S317" s="12">
        <f t="shared" si="103"/>
        <v>141</v>
      </c>
      <c r="T317" s="21">
        <v>0</v>
      </c>
      <c r="U317" s="13">
        <v>0</v>
      </c>
      <c r="V317" s="13">
        <f t="shared" si="137"/>
        <v>566.80645161290317</v>
      </c>
      <c r="W317" s="13">
        <f t="shared" si="126"/>
        <v>7451.1290322580635</v>
      </c>
      <c r="Y317" s="13">
        <f t="shared" si="131"/>
        <v>7451.1290322580635</v>
      </c>
      <c r="Z317" s="12">
        <f t="shared" si="143"/>
        <v>466.61290322580641</v>
      </c>
      <c r="AA317" s="12">
        <f t="shared" si="127"/>
        <v>381</v>
      </c>
      <c r="AB317" s="1">
        <f t="shared" si="132"/>
        <v>0</v>
      </c>
      <c r="AC317" s="16">
        <f t="shared" si="138"/>
        <v>847.61290322580635</v>
      </c>
      <c r="AD317" s="16">
        <f t="shared" si="128"/>
        <v>8865.5483870967728</v>
      </c>
    </row>
    <row r="318" spans="1:31" x14ac:dyDescent="0.2">
      <c r="A318" s="10" t="s">
        <v>817</v>
      </c>
      <c r="B318" s="11" t="e">
        <f>#REF!+1</f>
        <v>#REF!</v>
      </c>
      <c r="C318" s="11" t="s">
        <v>703</v>
      </c>
      <c r="D318" s="19" t="s">
        <v>50</v>
      </c>
      <c r="E318" s="11" t="s">
        <v>238</v>
      </c>
      <c r="F318" s="20">
        <v>42571</v>
      </c>
      <c r="G318" s="11">
        <v>23</v>
      </c>
      <c r="H318" s="13">
        <f t="shared" si="146"/>
        <v>3709.6774193548385</v>
      </c>
      <c r="I318" s="13">
        <f t="shared" si="129"/>
        <v>0</v>
      </c>
      <c r="J318" s="13">
        <f t="shared" si="139"/>
        <v>185.48387096774195</v>
      </c>
      <c r="L318" s="13">
        <f t="shared" si="140"/>
        <v>593.54838709677415</v>
      </c>
      <c r="N318" s="13">
        <f>((1950+1441-178+1017+1018+1069)/G$3)*G318</f>
        <v>4686.8064516129034</v>
      </c>
      <c r="O318" s="13">
        <v>0</v>
      </c>
      <c r="Q318" s="13">
        <f t="shared" si="145"/>
        <v>9175.5161290322576</v>
      </c>
      <c r="R318" s="12">
        <f t="shared" si="125"/>
        <v>445.16129032258061</v>
      </c>
      <c r="S318" s="12">
        <f t="shared" si="103"/>
        <v>161</v>
      </c>
      <c r="T318" s="21">
        <v>0</v>
      </c>
      <c r="U318" s="13">
        <v>0</v>
      </c>
      <c r="V318" s="13">
        <f t="shared" si="137"/>
        <v>606.16129032258061</v>
      </c>
      <c r="W318" s="13">
        <f t="shared" si="126"/>
        <v>8569.3548387096762</v>
      </c>
      <c r="Y318" s="13">
        <f t="shared" si="131"/>
        <v>8569.3548387096762</v>
      </c>
      <c r="Z318" s="12">
        <f t="shared" si="143"/>
        <v>487.82258064516128</v>
      </c>
      <c r="AA318" s="12">
        <f t="shared" si="127"/>
        <v>436</v>
      </c>
      <c r="AB318" s="1">
        <f t="shared" si="132"/>
        <v>0</v>
      </c>
      <c r="AC318" s="16">
        <f t="shared" si="138"/>
        <v>923.82258064516122</v>
      </c>
      <c r="AD318" s="16">
        <f t="shared" si="128"/>
        <v>10099.338709677419</v>
      </c>
      <c r="AE318" s="11" t="s">
        <v>1030</v>
      </c>
    </row>
    <row r="319" spans="1:31" x14ac:dyDescent="0.2">
      <c r="A319" s="10" t="s">
        <v>818</v>
      </c>
      <c r="B319" s="11" t="e">
        <f t="shared" si="134"/>
        <v>#REF!</v>
      </c>
      <c r="C319" s="11" t="s">
        <v>553</v>
      </c>
      <c r="D319" s="19" t="s">
        <v>50</v>
      </c>
      <c r="E319" s="11" t="s">
        <v>484</v>
      </c>
      <c r="F319" s="20">
        <v>42887</v>
      </c>
      <c r="G319" s="11">
        <v>26</v>
      </c>
      <c r="H319" s="13">
        <f t="shared" si="146"/>
        <v>4193.5483870967737</v>
      </c>
      <c r="I319" s="13">
        <f t="shared" si="129"/>
        <v>0</v>
      </c>
      <c r="J319" s="13">
        <f t="shared" si="139"/>
        <v>209.67741935483869</v>
      </c>
      <c r="L319" s="13">
        <f t="shared" si="140"/>
        <v>670.96774193548379</v>
      </c>
      <c r="N319" s="13">
        <f t="shared" ref="N319:N327" si="147">((1950+1441-178+1017+0)/G$3)*G319</f>
        <v>3547.7419354838707</v>
      </c>
      <c r="O319" s="13">
        <v>0</v>
      </c>
      <c r="Q319" s="13">
        <f t="shared" si="145"/>
        <v>8621.9354838709678</v>
      </c>
      <c r="R319" s="12">
        <f t="shared" si="125"/>
        <v>503.22580645161281</v>
      </c>
      <c r="S319" s="12">
        <f t="shared" si="103"/>
        <v>151</v>
      </c>
      <c r="T319" s="21">
        <v>0</v>
      </c>
      <c r="U319" s="13">
        <v>0</v>
      </c>
      <c r="V319" s="13">
        <f t="shared" si="137"/>
        <v>654.22580645161281</v>
      </c>
      <c r="W319" s="13">
        <f t="shared" si="126"/>
        <v>7967.7096774193551</v>
      </c>
      <c r="Y319" s="13">
        <f t="shared" si="131"/>
        <v>7967.7096774193551</v>
      </c>
      <c r="Z319" s="12">
        <f t="shared" si="143"/>
        <v>551.45161290322574</v>
      </c>
      <c r="AA319" s="12">
        <f t="shared" si="127"/>
        <v>410</v>
      </c>
      <c r="AB319" s="1">
        <f t="shared" si="132"/>
        <v>0</v>
      </c>
      <c r="AC319" s="16">
        <f t="shared" si="138"/>
        <v>961.45161290322574</v>
      </c>
      <c r="AD319" s="16">
        <f t="shared" si="128"/>
        <v>9583.3870967741932</v>
      </c>
    </row>
    <row r="320" spans="1:31" x14ac:dyDescent="0.2">
      <c r="A320" s="10" t="s">
        <v>819</v>
      </c>
      <c r="B320" s="11" t="e">
        <f t="shared" si="134"/>
        <v>#REF!</v>
      </c>
      <c r="C320" s="11" t="s">
        <v>554</v>
      </c>
      <c r="D320" s="19" t="s">
        <v>50</v>
      </c>
      <c r="E320" s="11" t="s">
        <v>239</v>
      </c>
      <c r="F320" s="20">
        <v>42537</v>
      </c>
      <c r="G320" s="11">
        <v>37</v>
      </c>
      <c r="H320" s="13">
        <f t="shared" si="146"/>
        <v>5967.7419354838703</v>
      </c>
      <c r="I320" s="13">
        <f t="shared" si="129"/>
        <v>0</v>
      </c>
      <c r="J320" s="13">
        <f t="shared" si="139"/>
        <v>298.38709677419354</v>
      </c>
      <c r="L320" s="13">
        <f t="shared" si="140"/>
        <v>954.83870967741927</v>
      </c>
      <c r="N320" s="13">
        <f t="shared" si="147"/>
        <v>5048.7096774193542</v>
      </c>
      <c r="O320" s="13">
        <v>0</v>
      </c>
      <c r="Q320" s="13">
        <f t="shared" si="145"/>
        <v>12269.677419354837</v>
      </c>
      <c r="R320" s="12">
        <f t="shared" si="125"/>
        <v>716.1290322580644</v>
      </c>
      <c r="S320" s="12">
        <f t="shared" si="103"/>
        <v>215</v>
      </c>
      <c r="T320" s="21">
        <v>0</v>
      </c>
      <c r="U320" s="13">
        <v>0</v>
      </c>
      <c r="V320" s="13">
        <f t="shared" si="137"/>
        <v>931.1290322580644</v>
      </c>
      <c r="W320" s="13">
        <f t="shared" si="126"/>
        <v>11338.548387096773</v>
      </c>
      <c r="Y320" s="13">
        <f t="shared" si="131"/>
        <v>11338.548387096773</v>
      </c>
      <c r="Z320" s="12">
        <f t="shared" si="143"/>
        <v>784.75806451612902</v>
      </c>
      <c r="AA320" s="12">
        <f t="shared" si="127"/>
        <v>583</v>
      </c>
      <c r="AB320" s="1">
        <f t="shared" si="132"/>
        <v>0</v>
      </c>
      <c r="AC320" s="16">
        <f t="shared" si="138"/>
        <v>1367.758064516129</v>
      </c>
      <c r="AD320" s="16">
        <f t="shared" si="128"/>
        <v>13637.435483870966</v>
      </c>
    </row>
    <row r="321" spans="1:31" x14ac:dyDescent="0.2">
      <c r="A321" s="10" t="s">
        <v>585</v>
      </c>
      <c r="B321" s="11" t="e">
        <f t="shared" si="134"/>
        <v>#REF!</v>
      </c>
      <c r="C321" s="11" t="s">
        <v>556</v>
      </c>
      <c r="D321" s="19" t="s">
        <v>50</v>
      </c>
      <c r="E321" s="11" t="s">
        <v>484</v>
      </c>
      <c r="F321" s="20">
        <v>42702</v>
      </c>
      <c r="G321" s="11">
        <v>24</v>
      </c>
      <c r="H321" s="13">
        <f t="shared" si="146"/>
        <v>3870.9677419354839</v>
      </c>
      <c r="I321" s="13">
        <f t="shared" si="129"/>
        <v>0</v>
      </c>
      <c r="J321" s="13">
        <f t="shared" si="139"/>
        <v>193.54838709677421</v>
      </c>
      <c r="L321" s="13">
        <f t="shared" si="140"/>
        <v>619.35483870967732</v>
      </c>
      <c r="N321" s="13">
        <f t="shared" si="147"/>
        <v>3274.838709677419</v>
      </c>
      <c r="O321" s="13">
        <v>0</v>
      </c>
      <c r="Q321" s="13">
        <f t="shared" si="145"/>
        <v>7958.7096774193542</v>
      </c>
      <c r="R321" s="12">
        <f t="shared" si="125"/>
        <v>464.51612903225805</v>
      </c>
      <c r="S321" s="12">
        <f t="shared" si="103"/>
        <v>140</v>
      </c>
      <c r="T321" s="21">
        <v>0</v>
      </c>
      <c r="U321" s="13">
        <v>0</v>
      </c>
      <c r="V321" s="13">
        <f t="shared" si="137"/>
        <v>604.51612903225805</v>
      </c>
      <c r="W321" s="13">
        <f t="shared" si="126"/>
        <v>7354.1935483870966</v>
      </c>
      <c r="Y321" s="13">
        <f t="shared" si="131"/>
        <v>7354.1935483870966</v>
      </c>
      <c r="Z321" s="12">
        <f t="shared" si="143"/>
        <v>509.03225806451616</v>
      </c>
      <c r="AA321" s="12">
        <f t="shared" si="127"/>
        <v>379</v>
      </c>
      <c r="AB321" s="1">
        <f t="shared" si="132"/>
        <v>0</v>
      </c>
      <c r="AC321" s="16">
        <f t="shared" si="138"/>
        <v>888.0322580645161</v>
      </c>
      <c r="AD321" s="16">
        <f t="shared" si="128"/>
        <v>8846.7419354838712</v>
      </c>
    </row>
    <row r="322" spans="1:31" x14ac:dyDescent="0.2">
      <c r="A322" s="10" t="s">
        <v>820</v>
      </c>
      <c r="B322" s="11" t="e">
        <f t="shared" si="134"/>
        <v>#REF!</v>
      </c>
      <c r="C322" s="11" t="s">
        <v>557</v>
      </c>
      <c r="D322" s="19" t="s">
        <v>50</v>
      </c>
      <c r="E322" s="11" t="s">
        <v>484</v>
      </c>
      <c r="F322" s="20">
        <v>42891</v>
      </c>
      <c r="G322" s="11">
        <v>31</v>
      </c>
      <c r="H322" s="13">
        <f t="shared" si="146"/>
        <v>5000</v>
      </c>
      <c r="I322" s="13">
        <f t="shared" si="129"/>
        <v>0</v>
      </c>
      <c r="J322" s="13">
        <f t="shared" si="139"/>
        <v>250</v>
      </c>
      <c r="L322" s="13">
        <f t="shared" si="140"/>
        <v>800</v>
      </c>
      <c r="N322" s="13">
        <f t="shared" si="147"/>
        <v>4230</v>
      </c>
      <c r="O322" s="13">
        <v>0</v>
      </c>
      <c r="Q322" s="13">
        <f t="shared" si="145"/>
        <v>10280</v>
      </c>
      <c r="R322" s="12">
        <f t="shared" si="125"/>
        <v>600</v>
      </c>
      <c r="S322" s="12">
        <f t="shared" si="103"/>
        <v>180</v>
      </c>
      <c r="T322" s="21">
        <v>0</v>
      </c>
      <c r="U322" s="13">
        <v>0</v>
      </c>
      <c r="V322" s="13">
        <f t="shared" si="137"/>
        <v>780</v>
      </c>
      <c r="W322" s="13">
        <f t="shared" si="126"/>
        <v>9500</v>
      </c>
      <c r="Y322" s="13">
        <f t="shared" si="131"/>
        <v>9500</v>
      </c>
      <c r="Z322" s="12">
        <f t="shared" si="143"/>
        <v>657.5</v>
      </c>
      <c r="AA322" s="12">
        <f t="shared" si="127"/>
        <v>489</v>
      </c>
      <c r="AB322" s="1">
        <f t="shared" si="132"/>
        <v>0</v>
      </c>
      <c r="AC322" s="16">
        <f t="shared" si="138"/>
        <v>1146.5</v>
      </c>
      <c r="AD322" s="16">
        <f t="shared" si="128"/>
        <v>11426.5</v>
      </c>
    </row>
    <row r="323" spans="1:31" x14ac:dyDescent="0.2">
      <c r="A323" s="10" t="s">
        <v>821</v>
      </c>
      <c r="B323" s="11" t="e">
        <f t="shared" si="134"/>
        <v>#REF!</v>
      </c>
      <c r="C323" s="11" t="s">
        <v>560</v>
      </c>
      <c r="D323" s="19" t="s">
        <v>50</v>
      </c>
      <c r="E323" s="11" t="s">
        <v>484</v>
      </c>
      <c r="F323" s="20">
        <v>42895</v>
      </c>
      <c r="G323" s="11">
        <v>26</v>
      </c>
      <c r="H323" s="13">
        <f t="shared" si="146"/>
        <v>4193.5483870967737</v>
      </c>
      <c r="I323" s="13">
        <f t="shared" si="129"/>
        <v>0</v>
      </c>
      <c r="J323" s="13">
        <f t="shared" si="139"/>
        <v>209.67741935483869</v>
      </c>
      <c r="L323" s="13">
        <f t="shared" si="140"/>
        <v>670.96774193548379</v>
      </c>
      <c r="N323" s="13">
        <f t="shared" si="147"/>
        <v>3547.7419354838707</v>
      </c>
      <c r="O323" s="13">
        <v>0</v>
      </c>
      <c r="Q323" s="13">
        <f t="shared" si="145"/>
        <v>8621.9354838709678</v>
      </c>
      <c r="R323" s="12">
        <f t="shared" si="125"/>
        <v>503.22580645161281</v>
      </c>
      <c r="S323" s="12">
        <f t="shared" si="103"/>
        <v>151</v>
      </c>
      <c r="T323" s="21">
        <v>0</v>
      </c>
      <c r="U323" s="13">
        <v>0</v>
      </c>
      <c r="V323" s="13">
        <f t="shared" si="137"/>
        <v>654.22580645161281</v>
      </c>
      <c r="W323" s="13">
        <f t="shared" si="126"/>
        <v>7967.7096774193551</v>
      </c>
      <c r="Y323" s="13">
        <f t="shared" si="131"/>
        <v>7967.7096774193551</v>
      </c>
      <c r="Z323" s="12">
        <f t="shared" si="143"/>
        <v>551.45161290322574</v>
      </c>
      <c r="AA323" s="12">
        <f t="shared" si="127"/>
        <v>410</v>
      </c>
      <c r="AB323" s="1">
        <f t="shared" si="132"/>
        <v>0</v>
      </c>
      <c r="AC323" s="16">
        <f t="shared" si="138"/>
        <v>961.45161290322574</v>
      </c>
      <c r="AD323" s="16">
        <f t="shared" si="128"/>
        <v>9583.3870967741932</v>
      </c>
    </row>
    <row r="324" spans="1:31" x14ac:dyDescent="0.2">
      <c r="A324" s="10" t="s">
        <v>823</v>
      </c>
      <c r="B324" s="11" t="e">
        <f>#REF!+1</f>
        <v>#REF!</v>
      </c>
      <c r="C324" s="11" t="s">
        <v>562</v>
      </c>
      <c r="D324" s="19" t="s">
        <v>50</v>
      </c>
      <c r="E324" s="11" t="s">
        <v>484</v>
      </c>
      <c r="F324" s="20">
        <v>42888</v>
      </c>
      <c r="G324" s="11">
        <v>22</v>
      </c>
      <c r="H324" s="13">
        <f t="shared" si="146"/>
        <v>3548.3870967741932</v>
      </c>
      <c r="I324" s="13">
        <f t="shared" si="129"/>
        <v>0</v>
      </c>
      <c r="J324" s="13">
        <f t="shared" si="139"/>
        <v>177.41935483870967</v>
      </c>
      <c r="L324" s="13">
        <f t="shared" si="140"/>
        <v>567.74193548387098</v>
      </c>
      <c r="N324" s="13">
        <f t="shared" si="147"/>
        <v>3001.9354838709673</v>
      </c>
      <c r="O324" s="13">
        <v>0</v>
      </c>
      <c r="Q324" s="13">
        <f t="shared" si="145"/>
        <v>7295.4838709677406</v>
      </c>
      <c r="R324" s="12">
        <f t="shared" si="125"/>
        <v>425.80645161290317</v>
      </c>
      <c r="S324" s="12">
        <f t="shared" si="103"/>
        <v>128</v>
      </c>
      <c r="T324" s="21">
        <v>0</v>
      </c>
      <c r="U324" s="13">
        <v>0</v>
      </c>
      <c r="V324" s="13">
        <f t="shared" si="137"/>
        <v>553.80645161290317</v>
      </c>
      <c r="W324" s="13">
        <f t="shared" si="126"/>
        <v>6741.6774193548372</v>
      </c>
      <c r="Y324" s="13">
        <f t="shared" si="131"/>
        <v>6741.6774193548372</v>
      </c>
      <c r="Z324" s="12">
        <f t="shared" si="143"/>
        <v>466.61290322580641</v>
      </c>
      <c r="AA324" s="12">
        <f t="shared" si="127"/>
        <v>347</v>
      </c>
      <c r="AB324" s="1">
        <f t="shared" si="132"/>
        <v>0</v>
      </c>
      <c r="AC324" s="16">
        <f t="shared" si="138"/>
        <v>813.61290322580635</v>
      </c>
      <c r="AD324" s="16">
        <f t="shared" si="128"/>
        <v>8109.0967741935474</v>
      </c>
    </row>
    <row r="325" spans="1:31" x14ac:dyDescent="0.2">
      <c r="A325" s="10" t="s">
        <v>827</v>
      </c>
      <c r="B325" s="11" t="e">
        <f>#REF!+1</f>
        <v>#REF!</v>
      </c>
      <c r="C325" s="11" t="s">
        <v>567</v>
      </c>
      <c r="D325" s="19" t="s">
        <v>50</v>
      </c>
      <c r="E325" s="11" t="s">
        <v>484</v>
      </c>
      <c r="F325" s="20">
        <v>42887</v>
      </c>
      <c r="G325" s="11">
        <v>36</v>
      </c>
      <c r="H325" s="13">
        <f t="shared" si="146"/>
        <v>5806.4516129032254</v>
      </c>
      <c r="I325" s="13">
        <f t="shared" si="129"/>
        <v>0</v>
      </c>
      <c r="J325" s="13">
        <f t="shared" si="139"/>
        <v>290.32258064516128</v>
      </c>
      <c r="L325" s="13">
        <f t="shared" si="140"/>
        <v>929.0322580645161</v>
      </c>
      <c r="N325" s="13">
        <f t="shared" si="147"/>
        <v>4912.2580645161288</v>
      </c>
      <c r="O325" s="13">
        <v>0</v>
      </c>
      <c r="Q325" s="13">
        <f t="shared" si="145"/>
        <v>11938.06451612903</v>
      </c>
      <c r="R325" s="12">
        <f t="shared" si="125"/>
        <v>696.77419354838707</v>
      </c>
      <c r="S325" s="12">
        <f t="shared" si="103"/>
        <v>209</v>
      </c>
      <c r="T325" s="21">
        <v>0</v>
      </c>
      <c r="U325" s="13">
        <v>0</v>
      </c>
      <c r="V325" s="13">
        <f t="shared" si="137"/>
        <v>905.77419354838707</v>
      </c>
      <c r="W325" s="13">
        <f t="shared" si="126"/>
        <v>11032.290322580644</v>
      </c>
      <c r="Y325" s="13">
        <f t="shared" si="131"/>
        <v>11032.290322580644</v>
      </c>
      <c r="Z325" s="12">
        <f t="shared" si="143"/>
        <v>763.54838709677415</v>
      </c>
      <c r="AA325" s="12">
        <f t="shared" si="127"/>
        <v>568</v>
      </c>
      <c r="AB325" s="1">
        <f t="shared" si="132"/>
        <v>0</v>
      </c>
      <c r="AC325" s="16">
        <f t="shared" si="138"/>
        <v>1331.5483870967741</v>
      </c>
      <c r="AD325" s="16">
        <f t="shared" si="128"/>
        <v>13269.612903225805</v>
      </c>
    </row>
    <row r="326" spans="1:31" x14ac:dyDescent="0.2">
      <c r="A326" s="10" t="s">
        <v>828</v>
      </c>
      <c r="B326" s="11" t="e">
        <f t="shared" si="134"/>
        <v>#REF!</v>
      </c>
      <c r="C326" s="11" t="s">
        <v>706</v>
      </c>
      <c r="D326" s="19" t="s">
        <v>50</v>
      </c>
      <c r="E326" s="11" t="s">
        <v>484</v>
      </c>
      <c r="F326" s="20">
        <v>42891</v>
      </c>
      <c r="G326" s="11">
        <v>25</v>
      </c>
      <c r="H326" s="13">
        <f t="shared" si="146"/>
        <v>4032.2580645161288</v>
      </c>
      <c r="I326" s="13">
        <f t="shared" si="129"/>
        <v>0</v>
      </c>
      <c r="J326" s="13">
        <f t="shared" si="139"/>
        <v>201.61290322580646</v>
      </c>
      <c r="L326" s="13">
        <f t="shared" si="140"/>
        <v>645.16129032258061</v>
      </c>
      <c r="N326" s="13">
        <f t="shared" si="147"/>
        <v>3411.2903225806449</v>
      </c>
      <c r="O326" s="13">
        <v>0</v>
      </c>
      <c r="Q326" s="13">
        <f t="shared" si="145"/>
        <v>8290.322580645161</v>
      </c>
      <c r="R326" s="12">
        <f t="shared" ref="R326:R389" si="148">(H326+I326)*12%</f>
        <v>483.87096774193543</v>
      </c>
      <c r="S326" s="12">
        <f t="shared" si="103"/>
        <v>146</v>
      </c>
      <c r="T326" s="21">
        <v>0</v>
      </c>
      <c r="U326" s="13">
        <v>0</v>
      </c>
      <c r="V326" s="13">
        <f t="shared" si="137"/>
        <v>629.87096774193537</v>
      </c>
      <c r="W326" s="13">
        <f t="shared" ref="W326:W389" si="149">Q326-V326</f>
        <v>7660.4516129032254</v>
      </c>
      <c r="Y326" s="13">
        <f t="shared" si="131"/>
        <v>7660.4516129032254</v>
      </c>
      <c r="Z326" s="12">
        <f t="shared" si="143"/>
        <v>530.24193548387098</v>
      </c>
      <c r="AA326" s="12">
        <f t="shared" ref="AA326:AA389" si="150">CEILING((Q326)*4.75%,1)</f>
        <v>394</v>
      </c>
      <c r="AB326" s="1">
        <f t="shared" si="132"/>
        <v>0</v>
      </c>
      <c r="AC326" s="16">
        <f t="shared" si="138"/>
        <v>924.24193548387098</v>
      </c>
      <c r="AD326" s="16">
        <f t="shared" ref="AD326:AD389" si="151">Q326+AC326</f>
        <v>9214.5645161290322</v>
      </c>
    </row>
    <row r="327" spans="1:31" x14ac:dyDescent="0.2">
      <c r="A327" s="10" t="s">
        <v>829</v>
      </c>
      <c r="B327" s="11" t="e">
        <f t="shared" si="134"/>
        <v>#REF!</v>
      </c>
      <c r="C327" s="11" t="s">
        <v>569</v>
      </c>
      <c r="D327" s="19" t="s">
        <v>50</v>
      </c>
      <c r="E327" s="11" t="s">
        <v>484</v>
      </c>
      <c r="F327" s="20">
        <v>42892</v>
      </c>
      <c r="G327" s="11">
        <v>19</v>
      </c>
      <c r="H327" s="13">
        <f t="shared" si="146"/>
        <v>3064.516129032258</v>
      </c>
      <c r="I327" s="13">
        <f t="shared" ref="I327:I390" si="152">((0)/G$3)*G327</f>
        <v>0</v>
      </c>
      <c r="J327" s="13">
        <f t="shared" si="139"/>
        <v>153.2258064516129</v>
      </c>
      <c r="L327" s="13">
        <f t="shared" si="140"/>
        <v>490.32258064516128</v>
      </c>
      <c r="N327" s="13">
        <f t="shared" si="147"/>
        <v>2592.5806451612902</v>
      </c>
      <c r="O327" s="13">
        <v>0</v>
      </c>
      <c r="Q327" s="13">
        <f t="shared" si="145"/>
        <v>6300.645161290322</v>
      </c>
      <c r="R327" s="12">
        <f t="shared" si="148"/>
        <v>367.74193548387098</v>
      </c>
      <c r="S327" s="12">
        <f t="shared" si="103"/>
        <v>111</v>
      </c>
      <c r="T327" s="21">
        <v>0</v>
      </c>
      <c r="U327" s="13">
        <v>0</v>
      </c>
      <c r="V327" s="13">
        <f t="shared" si="137"/>
        <v>478.74193548387098</v>
      </c>
      <c r="W327" s="13">
        <f t="shared" si="149"/>
        <v>5821.9032258064508</v>
      </c>
      <c r="Y327" s="13">
        <f t="shared" ref="Y327:Y390" si="153">W327-X327</f>
        <v>5821.9032258064508</v>
      </c>
      <c r="Z327" s="12">
        <f t="shared" si="143"/>
        <v>402.98387096774195</v>
      </c>
      <c r="AA327" s="12">
        <f t="shared" si="150"/>
        <v>300</v>
      </c>
      <c r="AB327" s="1">
        <f t="shared" ref="AB327:AB390" si="154">U327*3</f>
        <v>0</v>
      </c>
      <c r="AC327" s="16">
        <f t="shared" si="138"/>
        <v>702.98387096774195</v>
      </c>
      <c r="AD327" s="16">
        <f t="shared" si="151"/>
        <v>7003.6290322580644</v>
      </c>
    </row>
    <row r="328" spans="1:31" x14ac:dyDescent="0.2">
      <c r="A328" s="10" t="s">
        <v>586</v>
      </c>
      <c r="B328" s="11" t="e">
        <f t="shared" ref="B328:B391" si="155">B327+1</f>
        <v>#REF!</v>
      </c>
      <c r="C328" s="11" t="s">
        <v>573</v>
      </c>
      <c r="D328" s="19" t="s">
        <v>50</v>
      </c>
      <c r="E328" s="11" t="s">
        <v>237</v>
      </c>
      <c r="F328" s="20">
        <v>42738</v>
      </c>
      <c r="G328" s="11">
        <v>32</v>
      </c>
      <c r="H328" s="13">
        <f t="shared" si="146"/>
        <v>5161.2903225806449</v>
      </c>
      <c r="I328" s="13">
        <f t="shared" si="152"/>
        <v>0</v>
      </c>
      <c r="J328" s="13">
        <f t="shared" si="139"/>
        <v>258.06451612903226</v>
      </c>
      <c r="L328" s="13">
        <f t="shared" si="140"/>
        <v>825.80645161290317</v>
      </c>
      <c r="N328" s="13">
        <f>((1950+1441-178+1017+1527+0)/G$3)*G328</f>
        <v>5942.7096774193551</v>
      </c>
      <c r="O328" s="13">
        <v>0</v>
      </c>
      <c r="Q328" s="13">
        <f t="shared" si="145"/>
        <v>12187.870967741936</v>
      </c>
      <c r="R328" s="12">
        <f t="shared" si="148"/>
        <v>619.35483870967732</v>
      </c>
      <c r="S328" s="12">
        <f t="shared" si="103"/>
        <v>214</v>
      </c>
      <c r="T328" s="21">
        <v>0</v>
      </c>
      <c r="U328" s="13">
        <v>0</v>
      </c>
      <c r="V328" s="13">
        <f t="shared" si="137"/>
        <v>833.35483870967732</v>
      </c>
      <c r="W328" s="13">
        <f t="shared" si="149"/>
        <v>11354.516129032258</v>
      </c>
      <c r="Y328" s="13">
        <f t="shared" si="153"/>
        <v>11354.516129032258</v>
      </c>
      <c r="Z328" s="12">
        <f t="shared" si="143"/>
        <v>678.70967741935488</v>
      </c>
      <c r="AA328" s="12">
        <f t="shared" si="150"/>
        <v>579</v>
      </c>
      <c r="AB328" s="1">
        <f t="shared" si="154"/>
        <v>0</v>
      </c>
      <c r="AC328" s="16">
        <f t="shared" si="138"/>
        <v>1257.7096774193549</v>
      </c>
      <c r="AD328" s="16">
        <f t="shared" si="151"/>
        <v>13445.58064516129</v>
      </c>
    </row>
    <row r="329" spans="1:31" x14ac:dyDescent="0.2">
      <c r="A329" s="10" t="s">
        <v>353</v>
      </c>
      <c r="B329" s="11" t="e">
        <f>#REF!+1</f>
        <v>#REF!</v>
      </c>
      <c r="C329" s="11" t="s">
        <v>579</v>
      </c>
      <c r="D329" s="19" t="s">
        <v>50</v>
      </c>
      <c r="E329" s="11" t="s">
        <v>239</v>
      </c>
      <c r="F329" s="20">
        <v>42854</v>
      </c>
      <c r="G329" s="11">
        <v>35</v>
      </c>
      <c r="H329" s="13">
        <f t="shared" si="146"/>
        <v>5645.1612903225805</v>
      </c>
      <c r="I329" s="13">
        <f t="shared" si="152"/>
        <v>0</v>
      </c>
      <c r="J329" s="13">
        <f t="shared" si="139"/>
        <v>282.25806451612902</v>
      </c>
      <c r="L329" s="13">
        <f t="shared" si="140"/>
        <v>903.22580645161281</v>
      </c>
      <c r="N329" s="13">
        <f>((1950+1441-178+1017+1018+0)/G$3)*G329</f>
        <v>5925.1612903225805</v>
      </c>
      <c r="O329" s="13">
        <v>0</v>
      </c>
      <c r="Q329" s="13">
        <f t="shared" si="145"/>
        <v>12755.806451612902</v>
      </c>
      <c r="R329" s="12">
        <f t="shared" si="148"/>
        <v>677.41935483870964</v>
      </c>
      <c r="S329" s="12">
        <f t="shared" si="103"/>
        <v>224</v>
      </c>
      <c r="T329" s="21">
        <v>0</v>
      </c>
      <c r="U329" s="13">
        <v>0</v>
      </c>
      <c r="V329" s="13">
        <f t="shared" si="137"/>
        <v>901.41935483870964</v>
      </c>
      <c r="W329" s="13">
        <f t="shared" si="149"/>
        <v>11854.387096774191</v>
      </c>
      <c r="Y329" s="13">
        <f t="shared" si="153"/>
        <v>11854.387096774191</v>
      </c>
      <c r="Z329" s="12">
        <f t="shared" si="143"/>
        <v>742.33870967741939</v>
      </c>
      <c r="AA329" s="12">
        <f t="shared" si="150"/>
        <v>606</v>
      </c>
      <c r="AB329" s="1">
        <f t="shared" si="154"/>
        <v>0</v>
      </c>
      <c r="AC329" s="16">
        <f t="shared" si="138"/>
        <v>1348.3387096774195</v>
      </c>
      <c r="AD329" s="16">
        <f t="shared" si="151"/>
        <v>14104.145161290322</v>
      </c>
    </row>
    <row r="330" spans="1:31" x14ac:dyDescent="0.2">
      <c r="A330" s="10" t="s">
        <v>832</v>
      </c>
      <c r="B330" s="11" t="e">
        <f t="shared" si="155"/>
        <v>#REF!</v>
      </c>
      <c r="C330" s="11" t="s">
        <v>403</v>
      </c>
      <c r="D330" s="19" t="s">
        <v>50</v>
      </c>
      <c r="E330" s="11" t="s">
        <v>241</v>
      </c>
      <c r="F330" s="20">
        <v>42898</v>
      </c>
      <c r="G330" s="11">
        <v>29</v>
      </c>
      <c r="H330" s="13">
        <f t="shared" si="146"/>
        <v>4677.4193548387093</v>
      </c>
      <c r="I330" s="13">
        <f t="shared" si="152"/>
        <v>0</v>
      </c>
      <c r="J330" s="13">
        <f t="shared" si="139"/>
        <v>233.87096774193549</v>
      </c>
      <c r="L330" s="13">
        <f t="shared" si="140"/>
        <v>748.38709677419354</v>
      </c>
      <c r="N330" s="13">
        <f t="shared" ref="N330:N359" si="156">((1950+1441-178+1017+0)/G$3)*G330</f>
        <v>3957.0967741935478</v>
      </c>
      <c r="O330" s="13">
        <v>0</v>
      </c>
      <c r="Q330" s="13">
        <f t="shared" si="145"/>
        <v>9616.7741935483864</v>
      </c>
      <c r="R330" s="12">
        <f t="shared" si="148"/>
        <v>561.29032258064512</v>
      </c>
      <c r="S330" s="12">
        <f t="shared" si="103"/>
        <v>169</v>
      </c>
      <c r="T330" s="21">
        <v>0</v>
      </c>
      <c r="U330" s="13">
        <v>0</v>
      </c>
      <c r="V330" s="13">
        <f t="shared" si="137"/>
        <v>730.29032258064512</v>
      </c>
      <c r="W330" s="13">
        <f t="shared" si="149"/>
        <v>8886.4838709677406</v>
      </c>
      <c r="Y330" s="13">
        <f t="shared" si="153"/>
        <v>8886.4838709677406</v>
      </c>
      <c r="Z330" s="12">
        <f t="shared" si="143"/>
        <v>615.08064516129025</v>
      </c>
      <c r="AA330" s="12">
        <f t="shared" si="150"/>
        <v>457</v>
      </c>
      <c r="AB330" s="1">
        <f t="shared" si="154"/>
        <v>0</v>
      </c>
      <c r="AC330" s="16">
        <f t="shared" si="138"/>
        <v>1072.0806451612902</v>
      </c>
      <c r="AD330" s="16">
        <f t="shared" si="151"/>
        <v>10688.854838709676</v>
      </c>
    </row>
    <row r="331" spans="1:31" x14ac:dyDescent="0.2">
      <c r="A331" s="10" t="s">
        <v>856</v>
      </c>
      <c r="B331" s="11" t="e">
        <f t="shared" si="155"/>
        <v>#REF!</v>
      </c>
      <c r="C331" s="11" t="s">
        <v>370</v>
      </c>
      <c r="D331" s="19" t="s">
        <v>50</v>
      </c>
      <c r="E331" s="11" t="s">
        <v>484</v>
      </c>
      <c r="F331" s="20">
        <v>42575</v>
      </c>
      <c r="G331" s="11">
        <v>14.5</v>
      </c>
      <c r="H331" s="13">
        <f t="shared" si="146"/>
        <v>2338.7096774193546</v>
      </c>
      <c r="I331" s="13">
        <f t="shared" si="152"/>
        <v>0</v>
      </c>
      <c r="J331" s="13">
        <f t="shared" si="139"/>
        <v>116.93548387096774</v>
      </c>
      <c r="L331" s="13">
        <f t="shared" si="140"/>
        <v>374.19354838709677</v>
      </c>
      <c r="N331" s="13">
        <f t="shared" si="156"/>
        <v>1978.5483870967739</v>
      </c>
      <c r="O331" s="13">
        <v>0</v>
      </c>
      <c r="Q331" s="13">
        <f t="shared" si="145"/>
        <v>4808.3870967741932</v>
      </c>
      <c r="R331" s="12">
        <f t="shared" si="148"/>
        <v>280.64516129032256</v>
      </c>
      <c r="S331" s="12">
        <f t="shared" si="103"/>
        <v>85</v>
      </c>
      <c r="T331" s="21">
        <v>0</v>
      </c>
      <c r="U331" s="13">
        <v>0</v>
      </c>
      <c r="V331" s="13">
        <f t="shared" si="137"/>
        <v>365.64516129032256</v>
      </c>
      <c r="W331" s="13">
        <f t="shared" si="149"/>
        <v>4442.7419354838703</v>
      </c>
      <c r="Y331" s="13">
        <f t="shared" si="153"/>
        <v>4442.7419354838703</v>
      </c>
      <c r="Z331" s="12">
        <f t="shared" si="143"/>
        <v>307.54032258064512</v>
      </c>
      <c r="AA331" s="12">
        <f t="shared" si="150"/>
        <v>229</v>
      </c>
      <c r="AB331" s="1">
        <f t="shared" si="154"/>
        <v>0</v>
      </c>
      <c r="AC331" s="16">
        <f t="shared" si="138"/>
        <v>536.54032258064512</v>
      </c>
      <c r="AD331" s="16">
        <f t="shared" si="151"/>
        <v>5344.9274193548381</v>
      </c>
    </row>
    <row r="332" spans="1:31" x14ac:dyDescent="0.2">
      <c r="A332" s="10" t="s">
        <v>857</v>
      </c>
      <c r="B332" s="11" t="e">
        <f t="shared" si="155"/>
        <v>#REF!</v>
      </c>
      <c r="C332" s="11" t="s">
        <v>714</v>
      </c>
      <c r="D332" s="19" t="s">
        <v>50</v>
      </c>
      <c r="E332" s="11" t="s">
        <v>484</v>
      </c>
      <c r="F332" s="20">
        <v>42600</v>
      </c>
      <c r="G332" s="11">
        <v>34</v>
      </c>
      <c r="H332" s="13">
        <f t="shared" si="146"/>
        <v>5483.8709677419356</v>
      </c>
      <c r="I332" s="13">
        <f t="shared" si="152"/>
        <v>0</v>
      </c>
      <c r="J332" s="13">
        <f t="shared" si="139"/>
        <v>274.19354838709677</v>
      </c>
      <c r="L332" s="13">
        <f t="shared" si="140"/>
        <v>877.41935483870964</v>
      </c>
      <c r="N332" s="13">
        <f>((1950+1441-178+1017+967)/G$3)*G332</f>
        <v>5699.9354838709678</v>
      </c>
      <c r="O332" s="13">
        <v>0</v>
      </c>
      <c r="Q332" s="13">
        <f t="shared" si="145"/>
        <v>12335.419354838708</v>
      </c>
      <c r="R332" s="12">
        <f t="shared" si="148"/>
        <v>658.0645161290322</v>
      </c>
      <c r="S332" s="12">
        <f t="shared" si="103"/>
        <v>216</v>
      </c>
      <c r="T332" s="21">
        <v>0</v>
      </c>
      <c r="U332" s="13">
        <v>0</v>
      </c>
      <c r="V332" s="13">
        <f t="shared" si="137"/>
        <v>874.0645161290322</v>
      </c>
      <c r="W332" s="13">
        <f t="shared" si="149"/>
        <v>11461.354838709676</v>
      </c>
      <c r="Y332" s="13">
        <f t="shared" si="153"/>
        <v>11461.354838709676</v>
      </c>
      <c r="Z332" s="12">
        <f t="shared" si="143"/>
        <v>721.12903225806451</v>
      </c>
      <c r="AA332" s="12">
        <f t="shared" si="150"/>
        <v>586</v>
      </c>
      <c r="AB332" s="1">
        <f t="shared" si="154"/>
        <v>0</v>
      </c>
      <c r="AC332" s="16">
        <f t="shared" si="138"/>
        <v>1307.1290322580644</v>
      </c>
      <c r="AD332" s="16">
        <f t="shared" si="151"/>
        <v>13642.548387096773</v>
      </c>
      <c r="AE332" s="11" t="s">
        <v>1030</v>
      </c>
    </row>
    <row r="333" spans="1:31" x14ac:dyDescent="0.2">
      <c r="A333" s="10" t="s">
        <v>858</v>
      </c>
      <c r="B333" s="11" t="e">
        <f t="shared" si="155"/>
        <v>#REF!</v>
      </c>
      <c r="C333" s="11" t="s">
        <v>715</v>
      </c>
      <c r="D333" s="19" t="s">
        <v>50</v>
      </c>
      <c r="E333" s="11" t="s">
        <v>484</v>
      </c>
      <c r="F333" s="20">
        <v>42934</v>
      </c>
      <c r="G333" s="11">
        <v>31</v>
      </c>
      <c r="H333" s="13">
        <f t="shared" si="146"/>
        <v>5000</v>
      </c>
      <c r="I333" s="13">
        <f t="shared" si="152"/>
        <v>0</v>
      </c>
      <c r="J333" s="13">
        <f t="shared" si="139"/>
        <v>250</v>
      </c>
      <c r="L333" s="13">
        <f t="shared" si="140"/>
        <v>800</v>
      </c>
      <c r="N333" s="13">
        <f t="shared" si="156"/>
        <v>4230</v>
      </c>
      <c r="O333" s="13">
        <v>0</v>
      </c>
      <c r="Q333" s="13">
        <f t="shared" si="145"/>
        <v>10280</v>
      </c>
      <c r="R333" s="12">
        <f t="shared" si="148"/>
        <v>600</v>
      </c>
      <c r="S333" s="12">
        <f t="shared" si="103"/>
        <v>180</v>
      </c>
      <c r="T333" s="21">
        <v>0</v>
      </c>
      <c r="U333" s="13">
        <v>0</v>
      </c>
      <c r="V333" s="13">
        <f t="shared" ref="V333:V396" si="157">SUM(R333:U333)</f>
        <v>780</v>
      </c>
      <c r="W333" s="13">
        <f t="shared" si="149"/>
        <v>9500</v>
      </c>
      <c r="Y333" s="13">
        <f t="shared" si="153"/>
        <v>9500</v>
      </c>
      <c r="Z333" s="12">
        <f t="shared" si="143"/>
        <v>657.5</v>
      </c>
      <c r="AA333" s="12">
        <f t="shared" si="150"/>
        <v>489</v>
      </c>
      <c r="AB333" s="1">
        <f t="shared" si="154"/>
        <v>0</v>
      </c>
      <c r="AC333" s="16">
        <f t="shared" ref="AC333:AC393" si="158">SUM(Z333:AB333)</f>
        <v>1146.5</v>
      </c>
      <c r="AD333" s="16">
        <f t="shared" si="151"/>
        <v>11426.5</v>
      </c>
    </row>
    <row r="334" spans="1:31" x14ac:dyDescent="0.2">
      <c r="A334" s="10" t="s">
        <v>861</v>
      </c>
      <c r="B334" s="11" t="e">
        <f>#REF!+1</f>
        <v>#REF!</v>
      </c>
      <c r="C334" s="11" t="s">
        <v>718</v>
      </c>
      <c r="D334" s="19" t="s">
        <v>50</v>
      </c>
      <c r="E334" s="11" t="s">
        <v>484</v>
      </c>
      <c r="F334" s="20">
        <v>42946</v>
      </c>
      <c r="G334" s="11">
        <v>37</v>
      </c>
      <c r="H334" s="13">
        <f t="shared" si="146"/>
        <v>5967.7419354838703</v>
      </c>
      <c r="I334" s="13">
        <f t="shared" si="152"/>
        <v>0</v>
      </c>
      <c r="J334" s="13">
        <f t="shared" si="139"/>
        <v>298.38709677419354</v>
      </c>
      <c r="L334" s="13">
        <f t="shared" si="140"/>
        <v>954.83870967741927</v>
      </c>
      <c r="N334" s="13">
        <f t="shared" si="156"/>
        <v>5048.7096774193542</v>
      </c>
      <c r="O334" s="13">
        <v>0</v>
      </c>
      <c r="Q334" s="13">
        <f t="shared" si="145"/>
        <v>12269.677419354837</v>
      </c>
      <c r="R334" s="12">
        <f t="shared" si="148"/>
        <v>716.1290322580644</v>
      </c>
      <c r="S334" s="12">
        <f t="shared" si="103"/>
        <v>215</v>
      </c>
      <c r="T334" s="21">
        <v>0</v>
      </c>
      <c r="U334" s="13">
        <v>0</v>
      </c>
      <c r="V334" s="13">
        <f t="shared" si="157"/>
        <v>931.1290322580644</v>
      </c>
      <c r="W334" s="13">
        <f t="shared" si="149"/>
        <v>11338.548387096773</v>
      </c>
      <c r="Y334" s="13">
        <f t="shared" si="153"/>
        <v>11338.548387096773</v>
      </c>
      <c r="Z334" s="12">
        <f t="shared" si="143"/>
        <v>784.75806451612902</v>
      </c>
      <c r="AA334" s="12">
        <f t="shared" si="150"/>
        <v>583</v>
      </c>
      <c r="AB334" s="1">
        <f t="shared" si="154"/>
        <v>0</v>
      </c>
      <c r="AC334" s="16">
        <f t="shared" si="158"/>
        <v>1367.758064516129</v>
      </c>
      <c r="AD334" s="16">
        <f t="shared" si="151"/>
        <v>13637.435483870966</v>
      </c>
    </row>
    <row r="335" spans="1:31" x14ac:dyDescent="0.2">
      <c r="A335" s="10" t="s">
        <v>862</v>
      </c>
      <c r="B335" s="11" t="e">
        <f t="shared" si="155"/>
        <v>#REF!</v>
      </c>
      <c r="C335" s="11" t="s">
        <v>719</v>
      </c>
      <c r="D335" s="19" t="s">
        <v>50</v>
      </c>
      <c r="E335" s="11" t="s">
        <v>234</v>
      </c>
      <c r="F335" s="20">
        <v>42795</v>
      </c>
      <c r="G335" s="11">
        <v>3</v>
      </c>
      <c r="H335" s="13">
        <f t="shared" si="146"/>
        <v>483.87096774193549</v>
      </c>
      <c r="I335" s="13">
        <f t="shared" si="152"/>
        <v>0</v>
      </c>
      <c r="J335" s="13">
        <f t="shared" si="139"/>
        <v>24.193548387096776</v>
      </c>
      <c r="L335" s="13">
        <f t="shared" si="140"/>
        <v>77.419354838709666</v>
      </c>
      <c r="N335" s="13">
        <f t="shared" ref="N335:N351" si="159">((1950+1441-178+1017+1018)/G$3)*G335</f>
        <v>507.87096774193549</v>
      </c>
      <c r="O335" s="13">
        <v>0</v>
      </c>
      <c r="Q335" s="13">
        <f t="shared" si="145"/>
        <v>1093.3548387096776</v>
      </c>
      <c r="R335" s="12">
        <f t="shared" si="148"/>
        <v>58.064516129032256</v>
      </c>
      <c r="S335" s="12">
        <f t="shared" si="103"/>
        <v>20</v>
      </c>
      <c r="T335" s="21">
        <v>0</v>
      </c>
      <c r="U335" s="13">
        <v>0</v>
      </c>
      <c r="V335" s="13">
        <f t="shared" si="157"/>
        <v>78.064516129032256</v>
      </c>
      <c r="W335" s="13">
        <f t="shared" si="149"/>
        <v>1015.2903225806454</v>
      </c>
      <c r="Y335" s="13">
        <f t="shared" si="153"/>
        <v>1015.2903225806454</v>
      </c>
      <c r="Z335" s="12">
        <f t="shared" si="143"/>
        <v>63.62903225806452</v>
      </c>
      <c r="AA335" s="12">
        <f t="shared" si="150"/>
        <v>52</v>
      </c>
      <c r="AB335" s="1">
        <f t="shared" si="154"/>
        <v>0</v>
      </c>
      <c r="AC335" s="16">
        <f t="shared" si="158"/>
        <v>115.62903225806451</v>
      </c>
      <c r="AD335" s="16">
        <f t="shared" si="151"/>
        <v>1208.983870967742</v>
      </c>
    </row>
    <row r="336" spans="1:31" x14ac:dyDescent="0.2">
      <c r="A336" s="10" t="s">
        <v>36</v>
      </c>
      <c r="B336" s="11" t="e">
        <f t="shared" si="155"/>
        <v>#REF!</v>
      </c>
      <c r="C336" s="11" t="s">
        <v>35</v>
      </c>
      <c r="D336" s="19" t="s">
        <v>50</v>
      </c>
      <c r="E336" s="11" t="s">
        <v>234</v>
      </c>
      <c r="F336" s="20">
        <v>42900</v>
      </c>
      <c r="G336" s="11">
        <v>25</v>
      </c>
      <c r="H336" s="13">
        <f t="shared" si="146"/>
        <v>4032.2580645161288</v>
      </c>
      <c r="I336" s="13">
        <f t="shared" si="152"/>
        <v>0</v>
      </c>
      <c r="J336" s="13">
        <f t="shared" si="139"/>
        <v>201.61290322580646</v>
      </c>
      <c r="L336" s="13">
        <f t="shared" si="140"/>
        <v>645.16129032258061</v>
      </c>
      <c r="N336" s="13">
        <f>((1950+1441-178+1017+2240)/G$3)*G336</f>
        <v>5217.7419354838712</v>
      </c>
      <c r="O336" s="13">
        <v>0</v>
      </c>
      <c r="Q336" s="13">
        <f t="shared" si="145"/>
        <v>10096.774193548386</v>
      </c>
      <c r="R336" s="12">
        <f t="shared" si="148"/>
        <v>483.87096774193543</v>
      </c>
      <c r="S336" s="12">
        <f t="shared" si="103"/>
        <v>177</v>
      </c>
      <c r="T336" s="21">
        <v>0</v>
      </c>
      <c r="U336" s="13">
        <v>0</v>
      </c>
      <c r="V336" s="13">
        <f t="shared" si="157"/>
        <v>660.87096774193537</v>
      </c>
      <c r="W336" s="13">
        <f t="shared" si="149"/>
        <v>9435.9032258064508</v>
      </c>
      <c r="Y336" s="13">
        <f t="shared" si="153"/>
        <v>9435.9032258064508</v>
      </c>
      <c r="Z336" s="12">
        <f t="shared" si="143"/>
        <v>530.24193548387098</v>
      </c>
      <c r="AA336" s="12">
        <f t="shared" si="150"/>
        <v>480</v>
      </c>
      <c r="AB336" s="1">
        <f t="shared" si="154"/>
        <v>0</v>
      </c>
      <c r="AC336" s="16">
        <f t="shared" si="158"/>
        <v>1010.241935483871</v>
      </c>
      <c r="AD336" s="16">
        <f t="shared" si="151"/>
        <v>11107.016129032258</v>
      </c>
    </row>
    <row r="337" spans="1:30" x14ac:dyDescent="0.2">
      <c r="A337" s="10" t="s">
        <v>865</v>
      </c>
      <c r="B337" s="11" t="e">
        <f>#REF!+1</f>
        <v>#REF!</v>
      </c>
      <c r="C337" s="11" t="s">
        <v>722</v>
      </c>
      <c r="D337" s="19" t="s">
        <v>50</v>
      </c>
      <c r="E337" s="11" t="s">
        <v>234</v>
      </c>
      <c r="F337" s="20">
        <v>42920</v>
      </c>
      <c r="G337" s="11">
        <v>19</v>
      </c>
      <c r="H337" s="13">
        <f t="shared" si="146"/>
        <v>3064.516129032258</v>
      </c>
      <c r="I337" s="13">
        <f t="shared" si="152"/>
        <v>0</v>
      </c>
      <c r="J337" s="13">
        <f t="shared" si="139"/>
        <v>153.2258064516129</v>
      </c>
      <c r="L337" s="13">
        <f t="shared" si="140"/>
        <v>490.32258064516128</v>
      </c>
      <c r="N337" s="13">
        <f t="shared" si="159"/>
        <v>3216.516129032258</v>
      </c>
      <c r="O337" s="13">
        <v>0</v>
      </c>
      <c r="Q337" s="13">
        <f t="shared" si="145"/>
        <v>6924.5806451612898</v>
      </c>
      <c r="R337" s="12">
        <f t="shared" si="148"/>
        <v>367.74193548387098</v>
      </c>
      <c r="S337" s="12">
        <f t="shared" si="103"/>
        <v>122</v>
      </c>
      <c r="T337" s="21">
        <v>0</v>
      </c>
      <c r="U337" s="13">
        <v>0</v>
      </c>
      <c r="V337" s="13">
        <f t="shared" si="157"/>
        <v>489.74193548387098</v>
      </c>
      <c r="W337" s="13">
        <f t="shared" si="149"/>
        <v>6434.8387096774186</v>
      </c>
      <c r="Y337" s="13">
        <f t="shared" si="153"/>
        <v>6434.8387096774186</v>
      </c>
      <c r="Z337" s="12">
        <f t="shared" si="143"/>
        <v>402.98387096774195</v>
      </c>
      <c r="AA337" s="12">
        <f t="shared" si="150"/>
        <v>329</v>
      </c>
      <c r="AB337" s="1">
        <f t="shared" si="154"/>
        <v>0</v>
      </c>
      <c r="AC337" s="16">
        <f t="shared" si="158"/>
        <v>731.98387096774195</v>
      </c>
      <c r="AD337" s="16">
        <f t="shared" si="151"/>
        <v>7656.5645161290322</v>
      </c>
    </row>
    <row r="338" spans="1:30" x14ac:dyDescent="0.2">
      <c r="A338" s="10" t="s">
        <v>867</v>
      </c>
      <c r="B338" s="11" t="e">
        <f t="shared" si="155"/>
        <v>#REF!</v>
      </c>
      <c r="C338" s="11" t="s">
        <v>724</v>
      </c>
      <c r="D338" s="19" t="s">
        <v>50</v>
      </c>
      <c r="E338" s="11" t="s">
        <v>234</v>
      </c>
      <c r="F338" s="20">
        <v>42922</v>
      </c>
      <c r="G338" s="11">
        <v>34</v>
      </c>
      <c r="H338" s="13">
        <f t="shared" si="146"/>
        <v>5483.8709677419356</v>
      </c>
      <c r="I338" s="13">
        <f t="shared" si="152"/>
        <v>0</v>
      </c>
      <c r="J338" s="13">
        <f t="shared" si="139"/>
        <v>274.19354838709677</v>
      </c>
      <c r="L338" s="13">
        <f t="shared" si="140"/>
        <v>877.41935483870964</v>
      </c>
      <c r="N338" s="13">
        <f t="shared" si="159"/>
        <v>5755.8709677419356</v>
      </c>
      <c r="O338" s="13">
        <v>0</v>
      </c>
      <c r="Q338" s="13">
        <f t="shared" si="145"/>
        <v>12391.354838709678</v>
      </c>
      <c r="R338" s="12">
        <f t="shared" si="148"/>
        <v>658.0645161290322</v>
      </c>
      <c r="S338" s="12">
        <f t="shared" si="103"/>
        <v>217</v>
      </c>
      <c r="T338" s="21">
        <v>0</v>
      </c>
      <c r="U338" s="13">
        <v>0</v>
      </c>
      <c r="V338" s="13">
        <f t="shared" si="157"/>
        <v>875.0645161290322</v>
      </c>
      <c r="W338" s="13">
        <f t="shared" si="149"/>
        <v>11516.290322580646</v>
      </c>
      <c r="Y338" s="13">
        <f t="shared" si="153"/>
        <v>11516.290322580646</v>
      </c>
      <c r="Z338" s="12">
        <f t="shared" si="143"/>
        <v>721.12903225806451</v>
      </c>
      <c r="AA338" s="12">
        <f t="shared" si="150"/>
        <v>589</v>
      </c>
      <c r="AB338" s="1">
        <f t="shared" si="154"/>
        <v>0</v>
      </c>
      <c r="AC338" s="16">
        <f t="shared" si="158"/>
        <v>1310.1290322580644</v>
      </c>
      <c r="AD338" s="16">
        <f t="shared" si="151"/>
        <v>13701.483870967742</v>
      </c>
    </row>
    <row r="339" spans="1:30" x14ac:dyDescent="0.2">
      <c r="A339" s="10" t="s">
        <v>873</v>
      </c>
      <c r="B339" s="11" t="e">
        <f>#REF!+1</f>
        <v>#REF!</v>
      </c>
      <c r="C339" s="11" t="s">
        <v>730</v>
      </c>
      <c r="D339" s="19" t="s">
        <v>50</v>
      </c>
      <c r="E339" s="11" t="s">
        <v>234</v>
      </c>
      <c r="F339" s="20">
        <v>42927</v>
      </c>
      <c r="G339" s="11">
        <v>36</v>
      </c>
      <c r="H339" s="13">
        <f t="shared" si="146"/>
        <v>5806.4516129032254</v>
      </c>
      <c r="I339" s="13">
        <f t="shared" si="152"/>
        <v>0</v>
      </c>
      <c r="J339" s="13">
        <f t="shared" ref="J339:J402" si="160">(H339+I339)*5%</f>
        <v>290.32258064516128</v>
      </c>
      <c r="L339" s="13">
        <f t="shared" si="140"/>
        <v>929.0322580645161</v>
      </c>
      <c r="N339" s="13">
        <f t="shared" si="159"/>
        <v>6094.4516129032254</v>
      </c>
      <c r="O339" s="13">
        <v>0</v>
      </c>
      <c r="Q339" s="13">
        <f t="shared" si="145"/>
        <v>13120.258064516129</v>
      </c>
      <c r="R339" s="12">
        <f t="shared" si="148"/>
        <v>696.77419354838707</v>
      </c>
      <c r="S339" s="12">
        <f t="shared" si="103"/>
        <v>230</v>
      </c>
      <c r="T339" s="21">
        <v>0</v>
      </c>
      <c r="U339" s="13">
        <v>0</v>
      </c>
      <c r="V339" s="13">
        <f t="shared" si="157"/>
        <v>926.77419354838707</v>
      </c>
      <c r="W339" s="13">
        <f t="shared" si="149"/>
        <v>12193.483870967742</v>
      </c>
      <c r="Y339" s="13">
        <f t="shared" si="153"/>
        <v>12193.483870967742</v>
      </c>
      <c r="Z339" s="12">
        <f t="shared" si="143"/>
        <v>763.54838709677415</v>
      </c>
      <c r="AA339" s="12">
        <f t="shared" si="150"/>
        <v>624</v>
      </c>
      <c r="AB339" s="1">
        <f t="shared" si="154"/>
        <v>0</v>
      </c>
      <c r="AC339" s="16">
        <f t="shared" si="158"/>
        <v>1387.5483870967741</v>
      </c>
      <c r="AD339" s="16">
        <f t="shared" si="151"/>
        <v>14507.806451612903</v>
      </c>
    </row>
    <row r="340" spans="1:30" x14ac:dyDescent="0.2">
      <c r="A340" s="10" t="s">
        <v>874</v>
      </c>
      <c r="B340" s="11" t="e">
        <f t="shared" si="155"/>
        <v>#REF!</v>
      </c>
      <c r="C340" s="11" t="s">
        <v>731</v>
      </c>
      <c r="D340" s="19" t="s">
        <v>50</v>
      </c>
      <c r="E340" s="11" t="s">
        <v>234</v>
      </c>
      <c r="F340" s="20">
        <v>42927</v>
      </c>
      <c r="G340" s="11">
        <v>26</v>
      </c>
      <c r="H340" s="13">
        <f t="shared" si="146"/>
        <v>4193.5483870967737</v>
      </c>
      <c r="I340" s="13">
        <f t="shared" si="152"/>
        <v>0</v>
      </c>
      <c r="J340" s="13">
        <f t="shared" si="160"/>
        <v>209.67741935483869</v>
      </c>
      <c r="L340" s="13">
        <f t="shared" si="140"/>
        <v>670.96774193548379</v>
      </c>
      <c r="N340" s="13">
        <f t="shared" si="159"/>
        <v>4401.5483870967737</v>
      </c>
      <c r="O340" s="13">
        <v>0</v>
      </c>
      <c r="Q340" s="13">
        <f t="shared" si="145"/>
        <v>9475.7419354838712</v>
      </c>
      <c r="R340" s="12">
        <f t="shared" si="148"/>
        <v>503.22580645161281</v>
      </c>
      <c r="S340" s="12">
        <f t="shared" si="103"/>
        <v>166</v>
      </c>
      <c r="T340" s="21">
        <v>0</v>
      </c>
      <c r="U340" s="13">
        <v>0</v>
      </c>
      <c r="V340" s="13">
        <f t="shared" si="157"/>
        <v>669.22580645161281</v>
      </c>
      <c r="W340" s="13">
        <f t="shared" si="149"/>
        <v>8806.5161290322576</v>
      </c>
      <c r="Y340" s="13">
        <f t="shared" si="153"/>
        <v>8806.5161290322576</v>
      </c>
      <c r="Z340" s="12">
        <f t="shared" si="143"/>
        <v>551.45161290322574</v>
      </c>
      <c r="AA340" s="12">
        <f t="shared" si="150"/>
        <v>451</v>
      </c>
      <c r="AB340" s="1">
        <f t="shared" si="154"/>
        <v>0</v>
      </c>
      <c r="AC340" s="16">
        <f t="shared" si="158"/>
        <v>1002.4516129032257</v>
      </c>
      <c r="AD340" s="16">
        <f t="shared" si="151"/>
        <v>10478.193548387097</v>
      </c>
    </row>
    <row r="341" spans="1:30" x14ac:dyDescent="0.2">
      <c r="A341" s="10" t="s">
        <v>878</v>
      </c>
      <c r="B341" s="11" t="e">
        <f>#REF!+1</f>
        <v>#REF!</v>
      </c>
      <c r="C341" s="11" t="s">
        <v>735</v>
      </c>
      <c r="D341" s="19" t="s">
        <v>50</v>
      </c>
      <c r="E341" s="11" t="s">
        <v>234</v>
      </c>
      <c r="F341" s="20">
        <v>42930</v>
      </c>
      <c r="G341" s="11">
        <v>11</v>
      </c>
      <c r="H341" s="13">
        <f t="shared" si="146"/>
        <v>1774.1935483870966</v>
      </c>
      <c r="I341" s="13">
        <f t="shared" si="152"/>
        <v>0</v>
      </c>
      <c r="J341" s="13">
        <f t="shared" si="160"/>
        <v>88.709677419354833</v>
      </c>
      <c r="L341" s="13">
        <f t="shared" ref="L341:L404" si="161">((800)/G$3)*G341</f>
        <v>283.87096774193549</v>
      </c>
      <c r="N341" s="13">
        <f t="shared" si="159"/>
        <v>1862.1935483870966</v>
      </c>
      <c r="O341" s="13">
        <v>0</v>
      </c>
      <c r="Q341" s="13">
        <f t="shared" si="145"/>
        <v>4008.9677419354834</v>
      </c>
      <c r="R341" s="12">
        <f t="shared" si="148"/>
        <v>212.90322580645159</v>
      </c>
      <c r="S341" s="12">
        <f t="shared" si="103"/>
        <v>71</v>
      </c>
      <c r="T341" s="21">
        <v>0</v>
      </c>
      <c r="U341" s="13">
        <v>0</v>
      </c>
      <c r="V341" s="13">
        <f t="shared" si="157"/>
        <v>283.90322580645159</v>
      </c>
      <c r="W341" s="13">
        <f t="shared" si="149"/>
        <v>3725.0645161290317</v>
      </c>
      <c r="Y341" s="13">
        <f t="shared" si="153"/>
        <v>3725.0645161290317</v>
      </c>
      <c r="Z341" s="12">
        <f t="shared" si="143"/>
        <v>233.3064516129032</v>
      </c>
      <c r="AA341" s="12">
        <f t="shared" si="150"/>
        <v>191</v>
      </c>
      <c r="AB341" s="1">
        <f t="shared" si="154"/>
        <v>0</v>
      </c>
      <c r="AC341" s="16">
        <f t="shared" si="158"/>
        <v>424.30645161290317</v>
      </c>
      <c r="AD341" s="16">
        <f t="shared" si="151"/>
        <v>4433.2741935483864</v>
      </c>
    </row>
    <row r="342" spans="1:30" x14ac:dyDescent="0.2">
      <c r="A342" s="10" t="s">
        <v>879</v>
      </c>
      <c r="B342" s="11" t="e">
        <f t="shared" si="155"/>
        <v>#REF!</v>
      </c>
      <c r="C342" s="11" t="s">
        <v>736</v>
      </c>
      <c r="D342" s="19" t="s">
        <v>50</v>
      </c>
      <c r="E342" s="11" t="s">
        <v>234</v>
      </c>
      <c r="F342" s="20">
        <v>42931</v>
      </c>
      <c r="G342" s="11">
        <v>18</v>
      </c>
      <c r="H342" s="13">
        <f t="shared" si="146"/>
        <v>2903.2258064516127</v>
      </c>
      <c r="I342" s="13">
        <f t="shared" si="152"/>
        <v>0</v>
      </c>
      <c r="J342" s="13">
        <f t="shared" si="160"/>
        <v>145.16129032258064</v>
      </c>
      <c r="L342" s="13">
        <f t="shared" si="161"/>
        <v>464.51612903225805</v>
      </c>
      <c r="N342" s="13">
        <f t="shared" si="159"/>
        <v>3047.2258064516127</v>
      </c>
      <c r="O342" s="13">
        <v>0</v>
      </c>
      <c r="Q342" s="13">
        <f t="shared" si="145"/>
        <v>6560.1290322580644</v>
      </c>
      <c r="R342" s="12">
        <f t="shared" si="148"/>
        <v>348.38709677419354</v>
      </c>
      <c r="S342" s="12">
        <f t="shared" si="103"/>
        <v>115</v>
      </c>
      <c r="T342" s="21">
        <v>0</v>
      </c>
      <c r="U342" s="13">
        <v>0</v>
      </c>
      <c r="V342" s="13">
        <f t="shared" si="157"/>
        <v>463.38709677419354</v>
      </c>
      <c r="W342" s="13">
        <f t="shared" si="149"/>
        <v>6096.7419354838712</v>
      </c>
      <c r="Y342" s="13">
        <f t="shared" si="153"/>
        <v>6096.7419354838712</v>
      </c>
      <c r="Z342" s="12">
        <f t="shared" si="143"/>
        <v>381.77419354838707</v>
      </c>
      <c r="AA342" s="12">
        <f t="shared" si="150"/>
        <v>312</v>
      </c>
      <c r="AB342" s="1">
        <f t="shared" si="154"/>
        <v>0</v>
      </c>
      <c r="AC342" s="16">
        <f t="shared" si="158"/>
        <v>693.77419354838707</v>
      </c>
      <c r="AD342" s="16">
        <f t="shared" si="151"/>
        <v>7253.9032258064517</v>
      </c>
    </row>
    <row r="343" spans="1:30" x14ac:dyDescent="0.2">
      <c r="A343" s="10" t="s">
        <v>881</v>
      </c>
      <c r="B343" s="11" t="e">
        <f t="shared" si="155"/>
        <v>#REF!</v>
      </c>
      <c r="C343" s="11" t="s">
        <v>738</v>
      </c>
      <c r="D343" s="19" t="s">
        <v>50</v>
      </c>
      <c r="E343" s="11" t="s">
        <v>234</v>
      </c>
      <c r="F343" s="20">
        <v>42931</v>
      </c>
      <c r="G343" s="11">
        <v>37</v>
      </c>
      <c r="H343" s="13">
        <f t="shared" si="146"/>
        <v>5967.7419354838703</v>
      </c>
      <c r="I343" s="13">
        <f t="shared" si="152"/>
        <v>0</v>
      </c>
      <c r="J343" s="13">
        <f t="shared" si="160"/>
        <v>298.38709677419354</v>
      </c>
      <c r="L343" s="13">
        <f t="shared" si="161"/>
        <v>954.83870967741927</v>
      </c>
      <c r="N343" s="13">
        <f t="shared" si="159"/>
        <v>6263.7419354838703</v>
      </c>
      <c r="O343" s="13">
        <v>0</v>
      </c>
      <c r="Q343" s="13">
        <f t="shared" si="145"/>
        <v>13484.709677419352</v>
      </c>
      <c r="R343" s="12">
        <f t="shared" si="148"/>
        <v>716.1290322580644</v>
      </c>
      <c r="S343" s="12">
        <f t="shared" si="103"/>
        <v>236</v>
      </c>
      <c r="T343" s="21">
        <v>0</v>
      </c>
      <c r="U343" s="13">
        <v>0</v>
      </c>
      <c r="V343" s="13">
        <f t="shared" si="157"/>
        <v>952.1290322580644</v>
      </c>
      <c r="W343" s="13">
        <f t="shared" si="149"/>
        <v>12532.580645161288</v>
      </c>
      <c r="Y343" s="13">
        <f t="shared" si="153"/>
        <v>12532.580645161288</v>
      </c>
      <c r="Z343" s="12">
        <f t="shared" si="143"/>
        <v>784.75806451612902</v>
      </c>
      <c r="AA343" s="12">
        <f t="shared" si="150"/>
        <v>641</v>
      </c>
      <c r="AB343" s="1">
        <f t="shared" si="154"/>
        <v>0</v>
      </c>
      <c r="AC343" s="16">
        <f t="shared" si="158"/>
        <v>1425.758064516129</v>
      </c>
      <c r="AD343" s="16">
        <f t="shared" si="151"/>
        <v>14910.467741935481</v>
      </c>
    </row>
    <row r="344" spans="1:30" x14ac:dyDescent="0.2">
      <c r="A344" s="10" t="s">
        <v>882</v>
      </c>
      <c r="B344" s="11" t="e">
        <f t="shared" si="155"/>
        <v>#REF!</v>
      </c>
      <c r="C344" s="11" t="s">
        <v>739</v>
      </c>
      <c r="D344" s="19" t="s">
        <v>50</v>
      </c>
      <c r="E344" s="11" t="s">
        <v>242</v>
      </c>
      <c r="F344" s="20">
        <v>42931</v>
      </c>
      <c r="G344" s="11">
        <v>25</v>
      </c>
      <c r="H344" s="13">
        <f t="shared" si="146"/>
        <v>4032.2580645161288</v>
      </c>
      <c r="I344" s="13">
        <f t="shared" si="152"/>
        <v>0</v>
      </c>
      <c r="J344" s="13">
        <f t="shared" si="160"/>
        <v>201.61290322580646</v>
      </c>
      <c r="L344" s="13">
        <f t="shared" si="161"/>
        <v>645.16129032258061</v>
      </c>
      <c r="N344" s="13">
        <f t="shared" si="156"/>
        <v>3411.2903225806449</v>
      </c>
      <c r="O344" s="13">
        <v>0</v>
      </c>
      <c r="Q344" s="13">
        <f t="shared" si="145"/>
        <v>8290.322580645161</v>
      </c>
      <c r="R344" s="12">
        <f t="shared" si="148"/>
        <v>483.87096774193543</v>
      </c>
      <c r="S344" s="12">
        <f t="shared" si="103"/>
        <v>146</v>
      </c>
      <c r="T344" s="21">
        <v>0</v>
      </c>
      <c r="U344" s="13">
        <v>0</v>
      </c>
      <c r="V344" s="13">
        <f t="shared" si="157"/>
        <v>629.87096774193537</v>
      </c>
      <c r="W344" s="13">
        <f t="shared" si="149"/>
        <v>7660.4516129032254</v>
      </c>
      <c r="Y344" s="13">
        <f t="shared" si="153"/>
        <v>7660.4516129032254</v>
      </c>
      <c r="Z344" s="12">
        <f t="shared" si="143"/>
        <v>530.24193548387098</v>
      </c>
      <c r="AA344" s="12">
        <f t="shared" si="150"/>
        <v>394</v>
      </c>
      <c r="AB344" s="1">
        <f t="shared" si="154"/>
        <v>0</v>
      </c>
      <c r="AC344" s="16">
        <f t="shared" si="158"/>
        <v>924.24193548387098</v>
      </c>
      <c r="AD344" s="16">
        <f t="shared" si="151"/>
        <v>9214.5645161290322</v>
      </c>
    </row>
    <row r="345" spans="1:30" x14ac:dyDescent="0.2">
      <c r="A345" s="10" t="s">
        <v>883</v>
      </c>
      <c r="B345" s="11" t="e">
        <f t="shared" si="155"/>
        <v>#REF!</v>
      </c>
      <c r="C345" s="11" t="s">
        <v>740</v>
      </c>
      <c r="D345" s="19" t="s">
        <v>50</v>
      </c>
      <c r="E345" s="11" t="s">
        <v>234</v>
      </c>
      <c r="F345" s="20">
        <v>42931</v>
      </c>
      <c r="G345" s="11">
        <v>35</v>
      </c>
      <c r="H345" s="13">
        <f t="shared" si="146"/>
        <v>5645.1612903225805</v>
      </c>
      <c r="I345" s="13">
        <f t="shared" si="152"/>
        <v>0</v>
      </c>
      <c r="J345" s="13">
        <f t="shared" si="160"/>
        <v>282.25806451612902</v>
      </c>
      <c r="L345" s="13">
        <f t="shared" si="161"/>
        <v>903.22580645161281</v>
      </c>
      <c r="N345" s="13">
        <f t="shared" si="159"/>
        <v>5925.1612903225805</v>
      </c>
      <c r="O345" s="13">
        <v>0</v>
      </c>
      <c r="Q345" s="13">
        <f t="shared" si="145"/>
        <v>12755.806451612902</v>
      </c>
      <c r="R345" s="12">
        <f t="shared" si="148"/>
        <v>677.41935483870964</v>
      </c>
      <c r="S345" s="12">
        <f t="shared" si="103"/>
        <v>224</v>
      </c>
      <c r="T345" s="21">
        <v>0</v>
      </c>
      <c r="U345" s="13">
        <v>0</v>
      </c>
      <c r="V345" s="13">
        <f t="shared" si="157"/>
        <v>901.41935483870964</v>
      </c>
      <c r="W345" s="13">
        <f t="shared" si="149"/>
        <v>11854.387096774191</v>
      </c>
      <c r="Y345" s="13">
        <f t="shared" si="153"/>
        <v>11854.387096774191</v>
      </c>
      <c r="Z345" s="12">
        <f t="shared" si="143"/>
        <v>742.33870967741939</v>
      </c>
      <c r="AA345" s="12">
        <f t="shared" si="150"/>
        <v>606</v>
      </c>
      <c r="AB345" s="1">
        <f t="shared" si="154"/>
        <v>0</v>
      </c>
      <c r="AC345" s="16">
        <f t="shared" si="158"/>
        <v>1348.3387096774195</v>
      </c>
      <c r="AD345" s="16">
        <f t="shared" si="151"/>
        <v>14104.145161290322</v>
      </c>
    </row>
    <row r="346" spans="1:30" x14ac:dyDescent="0.2">
      <c r="A346" s="10" t="s">
        <v>886</v>
      </c>
      <c r="B346" s="11" t="e">
        <f>#REF!+1</f>
        <v>#REF!</v>
      </c>
      <c r="C346" s="11" t="s">
        <v>743</v>
      </c>
      <c r="D346" s="19" t="s">
        <v>50</v>
      </c>
      <c r="E346" s="11" t="s">
        <v>234</v>
      </c>
      <c r="F346" s="20">
        <v>42737</v>
      </c>
      <c r="G346" s="11">
        <v>23</v>
      </c>
      <c r="H346" s="13">
        <f t="shared" si="146"/>
        <v>3709.6774193548385</v>
      </c>
      <c r="I346" s="13">
        <f t="shared" si="152"/>
        <v>0</v>
      </c>
      <c r="J346" s="13">
        <f t="shared" si="160"/>
        <v>185.48387096774195</v>
      </c>
      <c r="L346" s="13">
        <f t="shared" si="161"/>
        <v>593.54838709677415</v>
      </c>
      <c r="N346" s="13">
        <f>((8811)/G$3)*G346</f>
        <v>6537.1935483870975</v>
      </c>
      <c r="O346" s="13">
        <v>0</v>
      </c>
      <c r="Q346" s="13">
        <f t="shared" si="145"/>
        <v>11025.903225806451</v>
      </c>
      <c r="R346" s="12">
        <f t="shared" si="148"/>
        <v>445.16129032258061</v>
      </c>
      <c r="S346" s="12">
        <f t="shared" si="103"/>
        <v>193</v>
      </c>
      <c r="T346" s="21">
        <v>0</v>
      </c>
      <c r="U346" s="13">
        <v>0</v>
      </c>
      <c r="V346" s="13">
        <f t="shared" si="157"/>
        <v>638.16129032258061</v>
      </c>
      <c r="W346" s="13">
        <f t="shared" si="149"/>
        <v>10387.741935483869</v>
      </c>
      <c r="Y346" s="13">
        <f t="shared" si="153"/>
        <v>10387.741935483869</v>
      </c>
      <c r="Z346" s="12">
        <f t="shared" si="143"/>
        <v>487.82258064516128</v>
      </c>
      <c r="AA346" s="12">
        <f t="shared" si="150"/>
        <v>524</v>
      </c>
      <c r="AB346" s="1">
        <f t="shared" si="154"/>
        <v>0</v>
      </c>
      <c r="AC346" s="16">
        <f t="shared" si="158"/>
        <v>1011.8225806451612</v>
      </c>
      <c r="AD346" s="16">
        <f t="shared" si="151"/>
        <v>12037.725806451612</v>
      </c>
    </row>
    <row r="347" spans="1:30" x14ac:dyDescent="0.2">
      <c r="A347" s="10" t="s">
        <v>888</v>
      </c>
      <c r="B347" s="11" t="e">
        <f>#REF!+1</f>
        <v>#REF!</v>
      </c>
      <c r="C347" s="11" t="s">
        <v>745</v>
      </c>
      <c r="D347" s="19" t="s">
        <v>50</v>
      </c>
      <c r="E347" s="11" t="s">
        <v>234</v>
      </c>
      <c r="F347" s="20">
        <v>42930</v>
      </c>
      <c r="G347" s="11">
        <v>27</v>
      </c>
      <c r="H347" s="13">
        <f t="shared" si="146"/>
        <v>4354.8387096774195</v>
      </c>
      <c r="I347" s="13">
        <f t="shared" si="152"/>
        <v>0</v>
      </c>
      <c r="J347" s="13">
        <f t="shared" si="160"/>
        <v>217.74193548387098</v>
      </c>
      <c r="L347" s="13">
        <f t="shared" si="161"/>
        <v>696.77419354838707</v>
      </c>
      <c r="N347" s="13">
        <f t="shared" si="159"/>
        <v>4570.8387096774195</v>
      </c>
      <c r="O347" s="13">
        <v>0</v>
      </c>
      <c r="Q347" s="13">
        <f t="shared" si="145"/>
        <v>9840.1935483870984</v>
      </c>
      <c r="R347" s="12">
        <f t="shared" si="148"/>
        <v>522.58064516129036</v>
      </c>
      <c r="S347" s="12">
        <f t="shared" si="103"/>
        <v>173</v>
      </c>
      <c r="T347" s="21">
        <v>0</v>
      </c>
      <c r="U347" s="13">
        <v>0</v>
      </c>
      <c r="V347" s="13">
        <f t="shared" si="157"/>
        <v>695.58064516129036</v>
      </c>
      <c r="W347" s="13">
        <f t="shared" si="149"/>
        <v>9144.6129032258086</v>
      </c>
      <c r="Y347" s="13">
        <f t="shared" si="153"/>
        <v>9144.6129032258086</v>
      </c>
      <c r="Z347" s="12">
        <f t="shared" si="143"/>
        <v>572.66129032258073</v>
      </c>
      <c r="AA347" s="12">
        <f t="shared" si="150"/>
        <v>468</v>
      </c>
      <c r="AB347" s="1">
        <f t="shared" si="154"/>
        <v>0</v>
      </c>
      <c r="AC347" s="16">
        <f t="shared" si="158"/>
        <v>1040.6612903225807</v>
      </c>
      <c r="AD347" s="16">
        <f t="shared" si="151"/>
        <v>10880.85483870968</v>
      </c>
    </row>
    <row r="348" spans="1:30" x14ac:dyDescent="0.2">
      <c r="A348" s="10" t="s">
        <v>894</v>
      </c>
      <c r="B348" s="11" t="e">
        <f t="shared" si="155"/>
        <v>#REF!</v>
      </c>
      <c r="C348" s="11" t="s">
        <v>751</v>
      </c>
      <c r="D348" s="19" t="s">
        <v>50</v>
      </c>
      <c r="E348" s="11" t="s">
        <v>234</v>
      </c>
      <c r="F348" s="20">
        <v>42934</v>
      </c>
      <c r="G348" s="11">
        <v>29</v>
      </c>
      <c r="H348" s="13">
        <f t="shared" si="146"/>
        <v>4677.4193548387093</v>
      </c>
      <c r="I348" s="13">
        <f t="shared" si="152"/>
        <v>0</v>
      </c>
      <c r="J348" s="13">
        <f t="shared" si="160"/>
        <v>233.87096774193549</v>
      </c>
      <c r="L348" s="13">
        <f t="shared" si="161"/>
        <v>748.38709677419354</v>
      </c>
      <c r="N348" s="13">
        <f t="shared" si="159"/>
        <v>4909.4193548387093</v>
      </c>
      <c r="O348" s="13">
        <v>0</v>
      </c>
      <c r="Q348" s="13">
        <f t="shared" si="145"/>
        <v>10569.096774193547</v>
      </c>
      <c r="R348" s="12">
        <f t="shared" si="148"/>
        <v>561.29032258064512</v>
      </c>
      <c r="S348" s="12">
        <f t="shared" si="103"/>
        <v>185</v>
      </c>
      <c r="T348" s="21">
        <v>0</v>
      </c>
      <c r="U348" s="13">
        <v>0</v>
      </c>
      <c r="V348" s="13">
        <f t="shared" si="157"/>
        <v>746.29032258064512</v>
      </c>
      <c r="W348" s="13">
        <f t="shared" si="149"/>
        <v>9822.8064516129016</v>
      </c>
      <c r="Y348" s="13">
        <f t="shared" si="153"/>
        <v>9822.8064516129016</v>
      </c>
      <c r="Z348" s="12">
        <f t="shared" si="143"/>
        <v>615.08064516129025</v>
      </c>
      <c r="AA348" s="12">
        <f t="shared" si="150"/>
        <v>503</v>
      </c>
      <c r="AB348" s="1">
        <f t="shared" si="154"/>
        <v>0</v>
      </c>
      <c r="AC348" s="16">
        <f t="shared" si="158"/>
        <v>1118.0806451612902</v>
      </c>
      <c r="AD348" s="16">
        <f t="shared" si="151"/>
        <v>11687.177419354837</v>
      </c>
    </row>
    <row r="349" spans="1:30" x14ac:dyDescent="0.2">
      <c r="A349" s="10" t="s">
        <v>896</v>
      </c>
      <c r="B349" s="11" t="e">
        <f t="shared" si="155"/>
        <v>#REF!</v>
      </c>
      <c r="C349" s="11" t="s">
        <v>753</v>
      </c>
      <c r="D349" s="19" t="s">
        <v>50</v>
      </c>
      <c r="E349" s="11" t="s">
        <v>234</v>
      </c>
      <c r="F349" s="20">
        <v>42941</v>
      </c>
      <c r="G349" s="11">
        <v>33</v>
      </c>
      <c r="H349" s="13">
        <f t="shared" si="146"/>
        <v>5322.5806451612898</v>
      </c>
      <c r="I349" s="13">
        <f t="shared" si="152"/>
        <v>0</v>
      </c>
      <c r="J349" s="13">
        <f t="shared" si="160"/>
        <v>266.12903225806451</v>
      </c>
      <c r="L349" s="13">
        <f t="shared" si="161"/>
        <v>851.61290322580635</v>
      </c>
      <c r="N349" s="13">
        <f t="shared" si="159"/>
        <v>5586.5806451612898</v>
      </c>
      <c r="O349" s="13">
        <v>0</v>
      </c>
      <c r="Q349" s="13">
        <f t="shared" si="145"/>
        <v>12026.903225806451</v>
      </c>
      <c r="R349" s="12">
        <f t="shared" si="148"/>
        <v>638.70967741935476</v>
      </c>
      <c r="S349" s="12">
        <f t="shared" si="103"/>
        <v>211</v>
      </c>
      <c r="T349" s="21">
        <v>0</v>
      </c>
      <c r="U349" s="13">
        <v>0</v>
      </c>
      <c r="V349" s="13">
        <f t="shared" si="157"/>
        <v>849.70967741935476</v>
      </c>
      <c r="W349" s="13">
        <f t="shared" si="149"/>
        <v>11177.193548387097</v>
      </c>
      <c r="Y349" s="13">
        <f t="shared" si="153"/>
        <v>11177.193548387097</v>
      </c>
      <c r="Z349" s="12">
        <f t="shared" si="143"/>
        <v>699.91935483870964</v>
      </c>
      <c r="AA349" s="12">
        <f t="shared" si="150"/>
        <v>572</v>
      </c>
      <c r="AB349" s="1">
        <f t="shared" si="154"/>
        <v>0</v>
      </c>
      <c r="AC349" s="16">
        <f t="shared" si="158"/>
        <v>1271.9193548387098</v>
      </c>
      <c r="AD349" s="16">
        <f t="shared" si="151"/>
        <v>13298.822580645161</v>
      </c>
    </row>
    <row r="350" spans="1:30" x14ac:dyDescent="0.2">
      <c r="A350" s="10" t="s">
        <v>897</v>
      </c>
      <c r="B350" s="11" t="e">
        <f t="shared" si="155"/>
        <v>#REF!</v>
      </c>
      <c r="C350" s="11" t="s">
        <v>754</v>
      </c>
      <c r="D350" s="19" t="s">
        <v>50</v>
      </c>
      <c r="E350" s="11" t="s">
        <v>237</v>
      </c>
      <c r="F350" s="20">
        <v>42934</v>
      </c>
      <c r="G350" s="11">
        <v>31</v>
      </c>
      <c r="H350" s="13">
        <f t="shared" si="146"/>
        <v>5000</v>
      </c>
      <c r="I350" s="13">
        <f t="shared" si="152"/>
        <v>0</v>
      </c>
      <c r="J350" s="13">
        <f t="shared" si="160"/>
        <v>250</v>
      </c>
      <c r="L350" s="13">
        <f t="shared" si="161"/>
        <v>800</v>
      </c>
      <c r="N350" s="13">
        <f>((1950+1441-178+1017+509)/G$3)*G350</f>
        <v>4739</v>
      </c>
      <c r="O350" s="13">
        <v>0</v>
      </c>
      <c r="Q350" s="13">
        <f t="shared" si="145"/>
        <v>10789</v>
      </c>
      <c r="R350" s="12">
        <f t="shared" si="148"/>
        <v>600</v>
      </c>
      <c r="S350" s="12">
        <f t="shared" si="103"/>
        <v>189</v>
      </c>
      <c r="T350" s="21">
        <v>0</v>
      </c>
      <c r="U350" s="13">
        <v>0</v>
      </c>
      <c r="V350" s="13">
        <f t="shared" si="157"/>
        <v>789</v>
      </c>
      <c r="W350" s="13">
        <f t="shared" si="149"/>
        <v>10000</v>
      </c>
      <c r="Y350" s="13">
        <f t="shared" si="153"/>
        <v>10000</v>
      </c>
      <c r="Z350" s="12">
        <f t="shared" si="143"/>
        <v>657.5</v>
      </c>
      <c r="AA350" s="12">
        <f t="shared" si="150"/>
        <v>513</v>
      </c>
      <c r="AB350" s="1">
        <f t="shared" si="154"/>
        <v>0</v>
      </c>
      <c r="AC350" s="16">
        <f t="shared" si="158"/>
        <v>1170.5</v>
      </c>
      <c r="AD350" s="16">
        <f t="shared" si="151"/>
        <v>11959.5</v>
      </c>
    </row>
    <row r="351" spans="1:30" x14ac:dyDescent="0.2">
      <c r="A351" s="10" t="s">
        <v>898</v>
      </c>
      <c r="B351" s="11" t="e">
        <f t="shared" si="155"/>
        <v>#REF!</v>
      </c>
      <c r="C351" s="11" t="s">
        <v>755</v>
      </c>
      <c r="D351" s="19" t="s">
        <v>50</v>
      </c>
      <c r="E351" s="11" t="s">
        <v>237</v>
      </c>
      <c r="F351" s="20">
        <v>42930</v>
      </c>
      <c r="G351" s="11">
        <v>11</v>
      </c>
      <c r="H351" s="13">
        <f t="shared" si="146"/>
        <v>1774.1935483870966</v>
      </c>
      <c r="I351" s="13">
        <f t="shared" si="152"/>
        <v>0</v>
      </c>
      <c r="J351" s="13">
        <f t="shared" si="160"/>
        <v>88.709677419354833</v>
      </c>
      <c r="L351" s="13">
        <f t="shared" si="161"/>
        <v>283.87096774193549</v>
      </c>
      <c r="N351" s="13">
        <f t="shared" si="159"/>
        <v>1862.1935483870966</v>
      </c>
      <c r="O351" s="13">
        <v>0</v>
      </c>
      <c r="Q351" s="13">
        <f t="shared" si="145"/>
        <v>4008.9677419354834</v>
      </c>
      <c r="R351" s="12">
        <f t="shared" si="148"/>
        <v>212.90322580645159</v>
      </c>
      <c r="S351" s="12">
        <f t="shared" si="103"/>
        <v>71</v>
      </c>
      <c r="T351" s="21">
        <v>0</v>
      </c>
      <c r="U351" s="13">
        <v>0</v>
      </c>
      <c r="V351" s="13">
        <f t="shared" si="157"/>
        <v>283.90322580645159</v>
      </c>
      <c r="W351" s="13">
        <f t="shared" si="149"/>
        <v>3725.0645161290317</v>
      </c>
      <c r="Y351" s="13">
        <f t="shared" si="153"/>
        <v>3725.0645161290317</v>
      </c>
      <c r="Z351" s="12">
        <f t="shared" si="143"/>
        <v>233.3064516129032</v>
      </c>
      <c r="AA351" s="12">
        <f t="shared" si="150"/>
        <v>191</v>
      </c>
      <c r="AB351" s="1">
        <f t="shared" si="154"/>
        <v>0</v>
      </c>
      <c r="AC351" s="16">
        <f t="shared" si="158"/>
        <v>424.30645161290317</v>
      </c>
      <c r="AD351" s="16">
        <f t="shared" si="151"/>
        <v>4433.2741935483864</v>
      </c>
    </row>
    <row r="352" spans="1:30" x14ac:dyDescent="0.2">
      <c r="A352" s="10" t="s">
        <v>899</v>
      </c>
      <c r="B352" s="11" t="e">
        <f t="shared" si="155"/>
        <v>#REF!</v>
      </c>
      <c r="C352" s="11" t="s">
        <v>756</v>
      </c>
      <c r="D352" s="19" t="s">
        <v>50</v>
      </c>
      <c r="E352" s="11" t="s">
        <v>237</v>
      </c>
      <c r="F352" s="20">
        <v>42936</v>
      </c>
      <c r="G352" s="11">
        <v>20</v>
      </c>
      <c r="H352" s="13">
        <f t="shared" si="146"/>
        <v>3225.8064516129029</v>
      </c>
      <c r="I352" s="13">
        <f t="shared" si="152"/>
        <v>0</v>
      </c>
      <c r="J352" s="13">
        <f t="shared" si="160"/>
        <v>161.29032258064515</v>
      </c>
      <c r="L352" s="13">
        <f t="shared" si="161"/>
        <v>516.12903225806451</v>
      </c>
      <c r="N352" s="13">
        <f>((1950+1441-178+1017+509)/G$3)*G352</f>
        <v>3057.4193548387098</v>
      </c>
      <c r="O352" s="13">
        <v>0</v>
      </c>
      <c r="Q352" s="13">
        <f t="shared" si="145"/>
        <v>6960.645161290322</v>
      </c>
      <c r="R352" s="12">
        <f t="shared" si="148"/>
        <v>387.09677419354836</v>
      </c>
      <c r="S352" s="12">
        <f t="shared" si="103"/>
        <v>122</v>
      </c>
      <c r="T352" s="21">
        <v>0</v>
      </c>
      <c r="U352" s="13">
        <v>0</v>
      </c>
      <c r="V352" s="13">
        <f t="shared" si="157"/>
        <v>509.09677419354836</v>
      </c>
      <c r="W352" s="13">
        <f t="shared" si="149"/>
        <v>6451.5483870967737</v>
      </c>
      <c r="Y352" s="13">
        <f t="shared" si="153"/>
        <v>6451.5483870967737</v>
      </c>
      <c r="Z352" s="12">
        <f t="shared" si="143"/>
        <v>424.19354838709677</v>
      </c>
      <c r="AA352" s="12">
        <f t="shared" si="150"/>
        <v>331</v>
      </c>
      <c r="AB352" s="1">
        <f t="shared" si="154"/>
        <v>0</v>
      </c>
      <c r="AC352" s="16">
        <f t="shared" si="158"/>
        <v>755.19354838709683</v>
      </c>
      <c r="AD352" s="16">
        <f t="shared" si="151"/>
        <v>7715.8387096774186</v>
      </c>
    </row>
    <row r="353" spans="1:30" x14ac:dyDescent="0.2">
      <c r="A353" s="10" t="s">
        <v>900</v>
      </c>
      <c r="B353" s="11" t="e">
        <f t="shared" si="155"/>
        <v>#REF!</v>
      </c>
      <c r="C353" s="11" t="s">
        <v>757</v>
      </c>
      <c r="D353" s="19" t="s">
        <v>50</v>
      </c>
      <c r="E353" s="11" t="s">
        <v>239</v>
      </c>
      <c r="F353" s="20">
        <v>42924</v>
      </c>
      <c r="G353" s="11">
        <v>20</v>
      </c>
      <c r="H353" s="13">
        <f t="shared" si="146"/>
        <v>3225.8064516129029</v>
      </c>
      <c r="I353" s="13">
        <f t="shared" si="152"/>
        <v>0</v>
      </c>
      <c r="J353" s="13">
        <f t="shared" si="160"/>
        <v>161.29032258064515</v>
      </c>
      <c r="L353" s="13">
        <f t="shared" si="161"/>
        <v>516.12903225806451</v>
      </c>
      <c r="N353" s="13">
        <f t="shared" si="156"/>
        <v>2729.0322580645161</v>
      </c>
      <c r="O353" s="13">
        <v>0</v>
      </c>
      <c r="Q353" s="13">
        <f t="shared" si="145"/>
        <v>6632.2580645161288</v>
      </c>
      <c r="R353" s="12">
        <f t="shared" si="148"/>
        <v>387.09677419354836</v>
      </c>
      <c r="S353" s="12">
        <f t="shared" si="103"/>
        <v>117</v>
      </c>
      <c r="T353" s="21">
        <v>0</v>
      </c>
      <c r="U353" s="13">
        <v>0</v>
      </c>
      <c r="V353" s="13">
        <f t="shared" si="157"/>
        <v>504.09677419354836</v>
      </c>
      <c r="W353" s="13">
        <f t="shared" si="149"/>
        <v>6128.1612903225805</v>
      </c>
      <c r="Y353" s="13">
        <f t="shared" si="153"/>
        <v>6128.1612903225805</v>
      </c>
      <c r="Z353" s="12">
        <f t="shared" si="143"/>
        <v>424.19354838709677</v>
      </c>
      <c r="AA353" s="12">
        <f t="shared" si="150"/>
        <v>316</v>
      </c>
      <c r="AB353" s="1">
        <f t="shared" si="154"/>
        <v>0</v>
      </c>
      <c r="AC353" s="16">
        <f t="shared" si="158"/>
        <v>740.19354838709683</v>
      </c>
      <c r="AD353" s="16">
        <f t="shared" si="151"/>
        <v>7372.4516129032254</v>
      </c>
    </row>
    <row r="354" spans="1:30" x14ac:dyDescent="0.2">
      <c r="A354" s="10" t="s">
        <v>901</v>
      </c>
      <c r="B354" s="11" t="e">
        <f t="shared" si="155"/>
        <v>#REF!</v>
      </c>
      <c r="C354" s="11" t="s">
        <v>758</v>
      </c>
      <c r="D354" s="19" t="s">
        <v>50</v>
      </c>
      <c r="E354" s="11" t="s">
        <v>239</v>
      </c>
      <c r="F354" s="20">
        <v>42944</v>
      </c>
      <c r="G354" s="11">
        <v>35</v>
      </c>
      <c r="H354" s="13">
        <f t="shared" si="146"/>
        <v>5645.1612903225805</v>
      </c>
      <c r="I354" s="13">
        <f t="shared" si="152"/>
        <v>0</v>
      </c>
      <c r="J354" s="13">
        <f t="shared" si="160"/>
        <v>282.25806451612902</v>
      </c>
      <c r="L354" s="13">
        <f t="shared" si="161"/>
        <v>903.22580645161281</v>
      </c>
      <c r="N354" s="13">
        <f t="shared" si="156"/>
        <v>4775.8064516129025</v>
      </c>
      <c r="O354" s="13">
        <v>0</v>
      </c>
      <c r="Q354" s="13">
        <f t="shared" si="145"/>
        <v>11606.451612903224</v>
      </c>
      <c r="R354" s="12">
        <f t="shared" si="148"/>
        <v>677.41935483870964</v>
      </c>
      <c r="S354" s="12">
        <f t="shared" si="103"/>
        <v>204</v>
      </c>
      <c r="T354" s="21">
        <v>0</v>
      </c>
      <c r="U354" s="13">
        <v>0</v>
      </c>
      <c r="V354" s="13">
        <f t="shared" si="157"/>
        <v>881.41935483870964</v>
      </c>
      <c r="W354" s="13">
        <f t="shared" si="149"/>
        <v>10725.032258064513</v>
      </c>
      <c r="Y354" s="13">
        <f t="shared" si="153"/>
        <v>10725.032258064513</v>
      </c>
      <c r="Z354" s="12">
        <f t="shared" si="143"/>
        <v>742.33870967741939</v>
      </c>
      <c r="AA354" s="12">
        <f t="shared" si="150"/>
        <v>552</v>
      </c>
      <c r="AB354" s="1">
        <f t="shared" si="154"/>
        <v>0</v>
      </c>
      <c r="AC354" s="16">
        <f t="shared" si="158"/>
        <v>1294.3387096774195</v>
      </c>
      <c r="AD354" s="16">
        <f t="shared" si="151"/>
        <v>12900.790322580644</v>
      </c>
    </row>
    <row r="355" spans="1:30" x14ac:dyDescent="0.2">
      <c r="A355" s="10" t="s">
        <v>902</v>
      </c>
      <c r="B355" s="11" t="e">
        <f t="shared" si="155"/>
        <v>#REF!</v>
      </c>
      <c r="C355" s="11" t="s">
        <v>759</v>
      </c>
      <c r="D355" s="19" t="s">
        <v>50</v>
      </c>
      <c r="E355" s="11" t="s">
        <v>581</v>
      </c>
      <c r="F355" s="20">
        <v>42940</v>
      </c>
      <c r="G355" s="11">
        <v>36</v>
      </c>
      <c r="H355" s="13">
        <f t="shared" si="146"/>
        <v>5806.4516129032254</v>
      </c>
      <c r="I355" s="13">
        <f t="shared" si="152"/>
        <v>0</v>
      </c>
      <c r="J355" s="13">
        <f t="shared" si="160"/>
        <v>290.32258064516128</v>
      </c>
      <c r="L355" s="13">
        <f t="shared" si="161"/>
        <v>929.0322580645161</v>
      </c>
      <c r="N355" s="13">
        <f t="shared" si="156"/>
        <v>4912.2580645161288</v>
      </c>
      <c r="O355" s="13">
        <v>0</v>
      </c>
      <c r="Q355" s="13">
        <f t="shared" si="145"/>
        <v>11938.06451612903</v>
      </c>
      <c r="R355" s="12">
        <f t="shared" si="148"/>
        <v>696.77419354838707</v>
      </c>
      <c r="S355" s="12">
        <f t="shared" si="103"/>
        <v>209</v>
      </c>
      <c r="T355" s="21">
        <v>0</v>
      </c>
      <c r="U355" s="13">
        <v>0</v>
      </c>
      <c r="V355" s="13">
        <f t="shared" si="157"/>
        <v>905.77419354838707</v>
      </c>
      <c r="W355" s="13">
        <f t="shared" si="149"/>
        <v>11032.290322580644</v>
      </c>
      <c r="Y355" s="13">
        <f t="shared" si="153"/>
        <v>11032.290322580644</v>
      </c>
      <c r="Z355" s="12">
        <f t="shared" si="143"/>
        <v>763.54838709677415</v>
      </c>
      <c r="AA355" s="12">
        <f t="shared" si="150"/>
        <v>568</v>
      </c>
      <c r="AB355" s="1">
        <f t="shared" si="154"/>
        <v>0</v>
      </c>
      <c r="AC355" s="16">
        <f t="shared" si="158"/>
        <v>1331.5483870967741</v>
      </c>
      <c r="AD355" s="16">
        <f t="shared" si="151"/>
        <v>13269.612903225805</v>
      </c>
    </row>
    <row r="356" spans="1:30" x14ac:dyDescent="0.2">
      <c r="A356" s="10" t="s">
        <v>903</v>
      </c>
      <c r="B356" s="11" t="e">
        <f t="shared" si="155"/>
        <v>#REF!</v>
      </c>
      <c r="C356" s="11" t="s">
        <v>760</v>
      </c>
      <c r="D356" s="19" t="s">
        <v>50</v>
      </c>
      <c r="E356" s="11" t="s">
        <v>581</v>
      </c>
      <c r="F356" s="20">
        <v>42941</v>
      </c>
      <c r="G356" s="11">
        <v>37</v>
      </c>
      <c r="H356" s="13">
        <f t="shared" si="146"/>
        <v>5967.7419354838703</v>
      </c>
      <c r="I356" s="13">
        <f t="shared" si="152"/>
        <v>0</v>
      </c>
      <c r="J356" s="13">
        <f t="shared" si="160"/>
        <v>298.38709677419354</v>
      </c>
      <c r="L356" s="13">
        <f t="shared" si="161"/>
        <v>954.83870967741927</v>
      </c>
      <c r="N356" s="13">
        <f t="shared" si="156"/>
        <v>5048.7096774193542</v>
      </c>
      <c r="O356" s="13">
        <v>0</v>
      </c>
      <c r="Q356" s="13">
        <f t="shared" si="145"/>
        <v>12269.677419354837</v>
      </c>
      <c r="R356" s="12">
        <f t="shared" si="148"/>
        <v>716.1290322580644</v>
      </c>
      <c r="S356" s="12">
        <f t="shared" si="103"/>
        <v>215</v>
      </c>
      <c r="T356" s="21">
        <v>0</v>
      </c>
      <c r="U356" s="13">
        <v>0</v>
      </c>
      <c r="V356" s="13">
        <f t="shared" si="157"/>
        <v>931.1290322580644</v>
      </c>
      <c r="W356" s="13">
        <f t="shared" si="149"/>
        <v>11338.548387096773</v>
      </c>
      <c r="Y356" s="13">
        <f t="shared" si="153"/>
        <v>11338.548387096773</v>
      </c>
      <c r="Z356" s="12">
        <f t="shared" si="143"/>
        <v>784.75806451612902</v>
      </c>
      <c r="AA356" s="12">
        <f t="shared" si="150"/>
        <v>583</v>
      </c>
      <c r="AB356" s="1">
        <f t="shared" si="154"/>
        <v>0</v>
      </c>
      <c r="AC356" s="16">
        <f t="shared" si="158"/>
        <v>1367.758064516129</v>
      </c>
      <c r="AD356" s="16">
        <f t="shared" si="151"/>
        <v>13637.435483870966</v>
      </c>
    </row>
    <row r="357" spans="1:30" x14ac:dyDescent="0.2">
      <c r="A357" s="10" t="s">
        <v>904</v>
      </c>
      <c r="B357" s="11" t="e">
        <f t="shared" si="155"/>
        <v>#REF!</v>
      </c>
      <c r="C357" s="11" t="s">
        <v>761</v>
      </c>
      <c r="D357" s="19" t="s">
        <v>50</v>
      </c>
      <c r="E357" s="11" t="s">
        <v>241</v>
      </c>
      <c r="F357" s="20">
        <v>42679</v>
      </c>
      <c r="G357" s="11">
        <v>35</v>
      </c>
      <c r="H357" s="13">
        <f t="shared" si="146"/>
        <v>5645.1612903225805</v>
      </c>
      <c r="I357" s="13">
        <f t="shared" si="152"/>
        <v>0</v>
      </c>
      <c r="J357" s="13">
        <f t="shared" si="160"/>
        <v>282.25806451612902</v>
      </c>
      <c r="L357" s="13">
        <f t="shared" si="161"/>
        <v>903.22580645161281</v>
      </c>
      <c r="N357" s="13">
        <f t="shared" si="156"/>
        <v>4775.8064516129025</v>
      </c>
      <c r="O357" s="13">
        <v>0</v>
      </c>
      <c r="Q357" s="13">
        <f t="shared" si="145"/>
        <v>11606.451612903224</v>
      </c>
      <c r="R357" s="12">
        <f t="shared" si="148"/>
        <v>677.41935483870964</v>
      </c>
      <c r="S357" s="12">
        <f t="shared" si="103"/>
        <v>204</v>
      </c>
      <c r="T357" s="21">
        <v>0</v>
      </c>
      <c r="U357" s="13">
        <v>0</v>
      </c>
      <c r="V357" s="13">
        <f t="shared" si="157"/>
        <v>881.41935483870964</v>
      </c>
      <c r="W357" s="13">
        <f t="shared" si="149"/>
        <v>10725.032258064513</v>
      </c>
      <c r="Y357" s="13">
        <f t="shared" si="153"/>
        <v>10725.032258064513</v>
      </c>
      <c r="Z357" s="12">
        <f t="shared" ref="Z357:Z420" si="162">(H357+I357)*13.15%</f>
        <v>742.33870967741939</v>
      </c>
      <c r="AA357" s="12">
        <f t="shared" si="150"/>
        <v>552</v>
      </c>
      <c r="AB357" s="1">
        <f t="shared" si="154"/>
        <v>0</v>
      </c>
      <c r="AC357" s="16">
        <f t="shared" si="158"/>
        <v>1294.3387096774195</v>
      </c>
      <c r="AD357" s="16">
        <f t="shared" si="151"/>
        <v>12900.790322580644</v>
      </c>
    </row>
    <row r="358" spans="1:30" x14ac:dyDescent="0.2">
      <c r="A358" s="10" t="s">
        <v>905</v>
      </c>
      <c r="B358" s="11" t="e">
        <f t="shared" si="155"/>
        <v>#REF!</v>
      </c>
      <c r="C358" s="11" t="s">
        <v>762</v>
      </c>
      <c r="D358" s="19" t="s">
        <v>50</v>
      </c>
      <c r="E358" s="11" t="s">
        <v>241</v>
      </c>
      <c r="F358" s="20">
        <v>42941</v>
      </c>
      <c r="G358" s="11">
        <v>13</v>
      </c>
      <c r="H358" s="13">
        <f t="shared" si="146"/>
        <v>2096.7741935483868</v>
      </c>
      <c r="I358" s="13">
        <f t="shared" si="152"/>
        <v>0</v>
      </c>
      <c r="J358" s="13">
        <f t="shared" si="160"/>
        <v>104.83870967741935</v>
      </c>
      <c r="L358" s="13">
        <f t="shared" si="161"/>
        <v>335.48387096774189</v>
      </c>
      <c r="N358" s="13">
        <f t="shared" si="156"/>
        <v>1773.8709677419354</v>
      </c>
      <c r="O358" s="13">
        <v>0</v>
      </c>
      <c r="Q358" s="13">
        <f t="shared" si="145"/>
        <v>4310.9677419354839</v>
      </c>
      <c r="R358" s="12">
        <f t="shared" si="148"/>
        <v>251.61290322580641</v>
      </c>
      <c r="S358" s="12">
        <f t="shared" si="103"/>
        <v>76</v>
      </c>
      <c r="T358" s="21">
        <v>0</v>
      </c>
      <c r="U358" s="13">
        <v>0</v>
      </c>
      <c r="V358" s="13">
        <f t="shared" si="157"/>
        <v>327.61290322580641</v>
      </c>
      <c r="W358" s="13">
        <f t="shared" si="149"/>
        <v>3983.3548387096776</v>
      </c>
      <c r="Y358" s="13">
        <f t="shared" si="153"/>
        <v>3983.3548387096776</v>
      </c>
      <c r="Z358" s="12">
        <f t="shared" si="162"/>
        <v>275.72580645161287</v>
      </c>
      <c r="AA358" s="12">
        <f t="shared" si="150"/>
        <v>205</v>
      </c>
      <c r="AB358" s="1">
        <f t="shared" si="154"/>
        <v>0</v>
      </c>
      <c r="AC358" s="16">
        <f t="shared" si="158"/>
        <v>480.72580645161287</v>
      </c>
      <c r="AD358" s="16">
        <f t="shared" si="151"/>
        <v>4791.6935483870966</v>
      </c>
    </row>
    <row r="359" spans="1:30" x14ac:dyDescent="0.2">
      <c r="A359" s="10" t="s">
        <v>906</v>
      </c>
      <c r="B359" s="11" t="e">
        <f t="shared" si="155"/>
        <v>#REF!</v>
      </c>
      <c r="C359" s="11" t="s">
        <v>542</v>
      </c>
      <c r="D359" s="19" t="s">
        <v>50</v>
      </c>
      <c r="E359" s="11" t="s">
        <v>241</v>
      </c>
      <c r="F359" s="20">
        <v>42941</v>
      </c>
      <c r="G359" s="11">
        <v>34</v>
      </c>
      <c r="H359" s="13">
        <f t="shared" si="146"/>
        <v>5483.8709677419356</v>
      </c>
      <c r="I359" s="13">
        <f t="shared" si="152"/>
        <v>0</v>
      </c>
      <c r="J359" s="13">
        <f t="shared" si="160"/>
        <v>274.19354838709677</v>
      </c>
      <c r="L359" s="13">
        <f t="shared" si="161"/>
        <v>877.41935483870964</v>
      </c>
      <c r="N359" s="13">
        <f t="shared" si="156"/>
        <v>4639.3548387096771</v>
      </c>
      <c r="O359" s="13">
        <v>0</v>
      </c>
      <c r="Q359" s="13">
        <f t="shared" si="145"/>
        <v>11274.838709677419</v>
      </c>
      <c r="R359" s="12">
        <f t="shared" si="148"/>
        <v>658.0645161290322</v>
      </c>
      <c r="S359" s="12">
        <f t="shared" si="103"/>
        <v>198</v>
      </c>
      <c r="T359" s="21">
        <v>0</v>
      </c>
      <c r="U359" s="13">
        <v>0</v>
      </c>
      <c r="V359" s="13">
        <f t="shared" si="157"/>
        <v>856.0645161290322</v>
      </c>
      <c r="W359" s="13">
        <f t="shared" si="149"/>
        <v>10418.774193548386</v>
      </c>
      <c r="Y359" s="13">
        <f t="shared" si="153"/>
        <v>10418.774193548386</v>
      </c>
      <c r="Z359" s="12">
        <f t="shared" si="162"/>
        <v>721.12903225806451</v>
      </c>
      <c r="AA359" s="12">
        <f t="shared" si="150"/>
        <v>536</v>
      </c>
      <c r="AB359" s="1">
        <f t="shared" si="154"/>
        <v>0</v>
      </c>
      <c r="AC359" s="16">
        <f t="shared" si="158"/>
        <v>1257.1290322580644</v>
      </c>
      <c r="AD359" s="16">
        <f t="shared" si="151"/>
        <v>12531.967741935483</v>
      </c>
    </row>
    <row r="360" spans="1:30" x14ac:dyDescent="0.2">
      <c r="A360" s="10" t="s">
        <v>1345</v>
      </c>
      <c r="B360" s="11" t="e">
        <f t="shared" si="155"/>
        <v>#REF!</v>
      </c>
      <c r="C360" s="11" t="s">
        <v>1029</v>
      </c>
      <c r="D360" s="19" t="s">
        <v>50</v>
      </c>
      <c r="E360" s="11" t="s">
        <v>234</v>
      </c>
      <c r="F360" s="20">
        <v>42960</v>
      </c>
      <c r="G360" s="11">
        <v>21</v>
      </c>
      <c r="H360" s="13">
        <f t="shared" si="146"/>
        <v>3387.0967741935483</v>
      </c>
      <c r="I360" s="13">
        <f t="shared" si="152"/>
        <v>0</v>
      </c>
      <c r="J360" s="13">
        <f t="shared" si="160"/>
        <v>169.35483870967744</v>
      </c>
      <c r="L360" s="13">
        <f t="shared" si="161"/>
        <v>541.93548387096769</v>
      </c>
      <c r="N360" s="13">
        <f>((5248)/G$3)*G360</f>
        <v>3555.0967741935483</v>
      </c>
      <c r="O360" s="13">
        <v>0</v>
      </c>
      <c r="Q360" s="13">
        <f t="shared" si="145"/>
        <v>7653.4838709677415</v>
      </c>
      <c r="R360" s="12">
        <f t="shared" si="148"/>
        <v>406.45161290322579</v>
      </c>
      <c r="S360" s="12">
        <f t="shared" si="103"/>
        <v>134</v>
      </c>
      <c r="T360" s="21">
        <v>0</v>
      </c>
      <c r="U360" s="13">
        <v>0</v>
      </c>
      <c r="V360" s="13">
        <f t="shared" si="157"/>
        <v>540.45161290322585</v>
      </c>
      <c r="W360" s="13">
        <f t="shared" si="149"/>
        <v>7113.0322580645152</v>
      </c>
      <c r="Y360" s="13">
        <f t="shared" si="153"/>
        <v>7113.0322580645152</v>
      </c>
      <c r="Z360" s="12">
        <f t="shared" si="162"/>
        <v>445.40322580645164</v>
      </c>
      <c r="AA360" s="12">
        <f t="shared" si="150"/>
        <v>364</v>
      </c>
      <c r="AB360" s="1">
        <f t="shared" si="154"/>
        <v>0</v>
      </c>
      <c r="AC360" s="16">
        <f t="shared" si="158"/>
        <v>809.4032258064517</v>
      </c>
      <c r="AD360" s="16">
        <f t="shared" si="151"/>
        <v>8462.8870967741932</v>
      </c>
    </row>
    <row r="361" spans="1:30" x14ac:dyDescent="0.2">
      <c r="A361" s="10" t="s">
        <v>350</v>
      </c>
      <c r="B361" s="11" t="e">
        <f t="shared" si="155"/>
        <v>#REF!</v>
      </c>
      <c r="C361" s="11" t="s">
        <v>989</v>
      </c>
      <c r="D361" s="19" t="s">
        <v>50</v>
      </c>
      <c r="E361" s="19" t="s">
        <v>709</v>
      </c>
      <c r="F361" s="20">
        <v>42708</v>
      </c>
      <c r="G361" s="11">
        <v>27</v>
      </c>
      <c r="H361" s="13">
        <f t="shared" si="146"/>
        <v>4354.8387096774195</v>
      </c>
      <c r="I361" s="13">
        <f t="shared" si="152"/>
        <v>0</v>
      </c>
      <c r="J361" s="13">
        <f t="shared" si="160"/>
        <v>217.74193548387098</v>
      </c>
      <c r="L361" s="13">
        <f t="shared" si="161"/>
        <v>696.77419354838707</v>
      </c>
      <c r="N361" s="13">
        <f>((4230)/G$3)*G361</f>
        <v>3684.1935483870966</v>
      </c>
      <c r="O361" s="13">
        <v>0</v>
      </c>
      <c r="Q361" s="13">
        <f t="shared" si="145"/>
        <v>8953.5483870967746</v>
      </c>
      <c r="R361" s="12">
        <f t="shared" si="148"/>
        <v>522.58064516129036</v>
      </c>
      <c r="S361" s="12">
        <f t="shared" si="103"/>
        <v>157</v>
      </c>
      <c r="T361" s="21">
        <v>0</v>
      </c>
      <c r="U361" s="13">
        <v>0</v>
      </c>
      <c r="V361" s="13">
        <f t="shared" si="157"/>
        <v>679.58064516129036</v>
      </c>
      <c r="W361" s="13">
        <f t="shared" si="149"/>
        <v>8273.9677419354848</v>
      </c>
      <c r="Y361" s="13">
        <f t="shared" si="153"/>
        <v>8273.9677419354848</v>
      </c>
      <c r="Z361" s="12">
        <f t="shared" si="162"/>
        <v>572.66129032258073</v>
      </c>
      <c r="AA361" s="12">
        <f t="shared" si="150"/>
        <v>426</v>
      </c>
      <c r="AB361" s="1">
        <f t="shared" si="154"/>
        <v>0</v>
      </c>
      <c r="AC361" s="16">
        <f t="shared" si="158"/>
        <v>998.66129032258073</v>
      </c>
      <c r="AD361" s="16">
        <f t="shared" si="151"/>
        <v>9952.209677419356</v>
      </c>
    </row>
    <row r="362" spans="1:30" x14ac:dyDescent="0.2">
      <c r="A362" s="10" t="s">
        <v>1093</v>
      </c>
      <c r="B362" s="11" t="e">
        <f t="shared" si="155"/>
        <v>#REF!</v>
      </c>
      <c r="C362" s="11" t="s">
        <v>946</v>
      </c>
      <c r="D362" s="19" t="s">
        <v>50</v>
      </c>
      <c r="E362" s="19" t="s">
        <v>581</v>
      </c>
      <c r="F362" s="20">
        <v>42949</v>
      </c>
      <c r="G362" s="11">
        <v>32</v>
      </c>
      <c r="H362" s="13">
        <f t="shared" si="146"/>
        <v>5161.2903225806449</v>
      </c>
      <c r="I362" s="13">
        <f t="shared" si="152"/>
        <v>0</v>
      </c>
      <c r="J362" s="13">
        <f t="shared" si="160"/>
        <v>258.06451612903226</v>
      </c>
      <c r="L362" s="13">
        <f t="shared" si="161"/>
        <v>825.80645161290317</v>
      </c>
      <c r="N362" s="13">
        <f>((4230)/G$3)*G362</f>
        <v>4366.4516129032254</v>
      </c>
      <c r="O362" s="13">
        <v>0</v>
      </c>
      <c r="Q362" s="13">
        <f t="shared" si="145"/>
        <v>10611.612903225807</v>
      </c>
      <c r="R362" s="12">
        <f t="shared" si="148"/>
        <v>619.35483870967732</v>
      </c>
      <c r="S362" s="12">
        <f t="shared" si="103"/>
        <v>186</v>
      </c>
      <c r="T362" s="21">
        <v>0</v>
      </c>
      <c r="U362" s="13">
        <v>0</v>
      </c>
      <c r="V362" s="13">
        <f t="shared" si="157"/>
        <v>805.35483870967732</v>
      </c>
      <c r="W362" s="13">
        <f t="shared" si="149"/>
        <v>9806.2580645161288</v>
      </c>
      <c r="Y362" s="13">
        <f t="shared" si="153"/>
        <v>9806.2580645161288</v>
      </c>
      <c r="Z362" s="12">
        <f t="shared" si="162"/>
        <v>678.70967741935488</v>
      </c>
      <c r="AA362" s="12">
        <f t="shared" si="150"/>
        <v>505</v>
      </c>
      <c r="AB362" s="1">
        <f t="shared" si="154"/>
        <v>0</v>
      </c>
      <c r="AC362" s="16">
        <f t="shared" si="158"/>
        <v>1183.7096774193549</v>
      </c>
      <c r="AD362" s="16">
        <f t="shared" si="151"/>
        <v>11795.322580645161</v>
      </c>
    </row>
    <row r="363" spans="1:30" x14ac:dyDescent="0.2">
      <c r="A363" s="10" t="s">
        <v>1094</v>
      </c>
      <c r="B363" s="11" t="e">
        <f t="shared" si="155"/>
        <v>#REF!</v>
      </c>
      <c r="C363" s="11" t="s">
        <v>947</v>
      </c>
      <c r="D363" s="19" t="s">
        <v>50</v>
      </c>
      <c r="E363" s="19" t="s">
        <v>581</v>
      </c>
      <c r="F363" s="20">
        <v>42953</v>
      </c>
      <c r="G363" s="11">
        <v>32</v>
      </c>
      <c r="H363" s="13">
        <f t="shared" si="146"/>
        <v>5161.2903225806449</v>
      </c>
      <c r="I363" s="13">
        <f t="shared" si="152"/>
        <v>0</v>
      </c>
      <c r="J363" s="13">
        <f t="shared" si="160"/>
        <v>258.06451612903226</v>
      </c>
      <c r="L363" s="13">
        <f t="shared" si="161"/>
        <v>825.80645161290317</v>
      </c>
      <c r="N363" s="13">
        <f>((5757)/G$3)*G363</f>
        <v>5942.7096774193551</v>
      </c>
      <c r="O363" s="13">
        <v>0</v>
      </c>
      <c r="Q363" s="13">
        <f t="shared" si="145"/>
        <v>12187.870967741936</v>
      </c>
      <c r="R363" s="12">
        <f t="shared" si="148"/>
        <v>619.35483870967732</v>
      </c>
      <c r="S363" s="12">
        <f t="shared" si="103"/>
        <v>214</v>
      </c>
      <c r="T363" s="21">
        <v>0</v>
      </c>
      <c r="U363" s="13">
        <v>0</v>
      </c>
      <c r="V363" s="13">
        <f t="shared" si="157"/>
        <v>833.35483870967732</v>
      </c>
      <c r="W363" s="13">
        <f t="shared" si="149"/>
        <v>11354.516129032258</v>
      </c>
      <c r="Y363" s="13">
        <f t="shared" si="153"/>
        <v>11354.516129032258</v>
      </c>
      <c r="Z363" s="12">
        <f t="shared" si="162"/>
        <v>678.70967741935488</v>
      </c>
      <c r="AA363" s="12">
        <f t="shared" si="150"/>
        <v>579</v>
      </c>
      <c r="AB363" s="1">
        <f t="shared" si="154"/>
        <v>0</v>
      </c>
      <c r="AC363" s="16">
        <f t="shared" si="158"/>
        <v>1257.7096774193549</v>
      </c>
      <c r="AD363" s="16">
        <f t="shared" si="151"/>
        <v>13445.58064516129</v>
      </c>
    </row>
    <row r="364" spans="1:30" x14ac:dyDescent="0.2">
      <c r="A364" s="10" t="s">
        <v>1095</v>
      </c>
      <c r="B364" s="11" t="e">
        <f>#REF!+1</f>
        <v>#REF!</v>
      </c>
      <c r="C364" s="11" t="s">
        <v>214</v>
      </c>
      <c r="D364" s="19" t="s">
        <v>50</v>
      </c>
      <c r="E364" s="19" t="s">
        <v>581</v>
      </c>
      <c r="F364" s="20">
        <v>42977</v>
      </c>
      <c r="G364" s="11">
        <v>31</v>
      </c>
      <c r="H364" s="13">
        <f t="shared" si="146"/>
        <v>5000</v>
      </c>
      <c r="I364" s="13">
        <f t="shared" si="152"/>
        <v>0</v>
      </c>
      <c r="J364" s="13">
        <f t="shared" si="160"/>
        <v>250</v>
      </c>
      <c r="L364" s="13">
        <f t="shared" si="161"/>
        <v>800</v>
      </c>
      <c r="N364" s="13">
        <f t="shared" ref="N364:N365" si="163">((5757)/G$3)*G364</f>
        <v>5757</v>
      </c>
      <c r="O364" s="13">
        <v>0</v>
      </c>
      <c r="Q364" s="13">
        <f t="shared" si="145"/>
        <v>11807</v>
      </c>
      <c r="R364" s="12">
        <f t="shared" si="148"/>
        <v>600</v>
      </c>
      <c r="S364" s="12">
        <f t="shared" si="103"/>
        <v>207</v>
      </c>
      <c r="T364" s="21">
        <v>0</v>
      </c>
      <c r="U364" s="13">
        <v>0</v>
      </c>
      <c r="V364" s="13">
        <f t="shared" si="157"/>
        <v>807</v>
      </c>
      <c r="W364" s="13">
        <f t="shared" si="149"/>
        <v>11000</v>
      </c>
      <c r="Y364" s="13">
        <f t="shared" si="153"/>
        <v>11000</v>
      </c>
      <c r="Z364" s="12">
        <f t="shared" si="162"/>
        <v>657.5</v>
      </c>
      <c r="AA364" s="12">
        <f t="shared" si="150"/>
        <v>561</v>
      </c>
      <c r="AB364" s="1">
        <f t="shared" si="154"/>
        <v>0</v>
      </c>
      <c r="AC364" s="16">
        <f t="shared" si="158"/>
        <v>1218.5</v>
      </c>
      <c r="AD364" s="16">
        <f t="shared" si="151"/>
        <v>13025.5</v>
      </c>
    </row>
    <row r="365" spans="1:30" x14ac:dyDescent="0.2">
      <c r="A365" s="10" t="s">
        <v>1096</v>
      </c>
      <c r="B365" s="11" t="e">
        <f t="shared" si="155"/>
        <v>#REF!</v>
      </c>
      <c r="C365" s="11" t="s">
        <v>950</v>
      </c>
      <c r="D365" s="19" t="s">
        <v>50</v>
      </c>
      <c r="E365" s="19" t="s">
        <v>581</v>
      </c>
      <c r="F365" s="20">
        <v>42966</v>
      </c>
      <c r="G365" s="11">
        <v>28</v>
      </c>
      <c r="H365" s="13">
        <f t="shared" si="146"/>
        <v>4516.1290322580644</v>
      </c>
      <c r="I365" s="13">
        <f t="shared" si="152"/>
        <v>0</v>
      </c>
      <c r="J365" s="13">
        <f t="shared" si="160"/>
        <v>225.80645161290323</v>
      </c>
      <c r="L365" s="13">
        <f t="shared" si="161"/>
        <v>722.58064516129025</v>
      </c>
      <c r="N365" s="13">
        <f t="shared" si="163"/>
        <v>5199.8709677419356</v>
      </c>
      <c r="O365" s="13">
        <v>0</v>
      </c>
      <c r="Q365" s="13">
        <f t="shared" si="145"/>
        <v>10664.387096774193</v>
      </c>
      <c r="R365" s="12">
        <f t="shared" si="148"/>
        <v>541.93548387096769</v>
      </c>
      <c r="S365" s="12">
        <f t="shared" si="103"/>
        <v>187</v>
      </c>
      <c r="T365" s="21">
        <v>0</v>
      </c>
      <c r="U365" s="13">
        <v>0</v>
      </c>
      <c r="V365" s="13">
        <f t="shared" si="157"/>
        <v>728.93548387096769</v>
      </c>
      <c r="W365" s="13">
        <f t="shared" si="149"/>
        <v>9935.4516129032254</v>
      </c>
      <c r="Y365" s="13">
        <f t="shared" si="153"/>
        <v>9935.4516129032254</v>
      </c>
      <c r="Z365" s="12">
        <f t="shared" si="162"/>
        <v>593.87096774193549</v>
      </c>
      <c r="AA365" s="12">
        <f t="shared" si="150"/>
        <v>507</v>
      </c>
      <c r="AB365" s="1">
        <f t="shared" si="154"/>
        <v>0</v>
      </c>
      <c r="AC365" s="16">
        <f t="shared" si="158"/>
        <v>1100.8709677419356</v>
      </c>
      <c r="AD365" s="16">
        <f t="shared" si="151"/>
        <v>11765.258064516129</v>
      </c>
    </row>
    <row r="366" spans="1:30" x14ac:dyDescent="0.2">
      <c r="A366" s="10" t="s">
        <v>1097</v>
      </c>
      <c r="B366" s="11" t="e">
        <f>#REF!+1</f>
        <v>#REF!</v>
      </c>
      <c r="C366" s="11" t="s">
        <v>952</v>
      </c>
      <c r="D366" s="19" t="s">
        <v>50</v>
      </c>
      <c r="E366" s="19" t="s">
        <v>234</v>
      </c>
      <c r="F366" s="20">
        <v>42948</v>
      </c>
      <c r="G366" s="11">
        <v>37</v>
      </c>
      <c r="H366" s="13">
        <f t="shared" si="146"/>
        <v>5967.7419354838703</v>
      </c>
      <c r="I366" s="13">
        <f t="shared" si="152"/>
        <v>0</v>
      </c>
      <c r="J366" s="13">
        <f t="shared" si="160"/>
        <v>298.38709677419354</v>
      </c>
      <c r="L366" s="13">
        <f t="shared" si="161"/>
        <v>954.83870967741927</v>
      </c>
      <c r="N366" s="13">
        <f t="shared" ref="N366:N392" si="164">((5248)/G$3)*G366</f>
        <v>6263.7419354838703</v>
      </c>
      <c r="O366" s="13">
        <v>0</v>
      </c>
      <c r="Q366" s="13">
        <f t="shared" ref="Q366:Q429" si="165">SUM(H366:P366)</f>
        <v>13484.709677419352</v>
      </c>
      <c r="R366" s="12">
        <f t="shared" si="148"/>
        <v>716.1290322580644</v>
      </c>
      <c r="S366" s="12">
        <f t="shared" si="103"/>
        <v>236</v>
      </c>
      <c r="T366" s="21">
        <v>0</v>
      </c>
      <c r="U366" s="13">
        <v>0</v>
      </c>
      <c r="V366" s="13">
        <f t="shared" si="157"/>
        <v>952.1290322580644</v>
      </c>
      <c r="W366" s="13">
        <f t="shared" si="149"/>
        <v>12532.580645161288</v>
      </c>
      <c r="Y366" s="13">
        <f t="shared" si="153"/>
        <v>12532.580645161288</v>
      </c>
      <c r="Z366" s="12">
        <f t="shared" si="162"/>
        <v>784.75806451612902</v>
      </c>
      <c r="AA366" s="12">
        <f t="shared" si="150"/>
        <v>641</v>
      </c>
      <c r="AB366" s="1">
        <f t="shared" si="154"/>
        <v>0</v>
      </c>
      <c r="AC366" s="16">
        <f t="shared" si="158"/>
        <v>1425.758064516129</v>
      </c>
      <c r="AD366" s="16">
        <f t="shared" si="151"/>
        <v>14910.467741935481</v>
      </c>
    </row>
    <row r="367" spans="1:30" x14ac:dyDescent="0.2">
      <c r="A367" s="10" t="s">
        <v>1098</v>
      </c>
      <c r="B367" s="11" t="e">
        <f t="shared" si="155"/>
        <v>#REF!</v>
      </c>
      <c r="C367" s="11" t="s">
        <v>955</v>
      </c>
      <c r="D367" s="19" t="s">
        <v>50</v>
      </c>
      <c r="E367" s="19" t="s">
        <v>234</v>
      </c>
      <c r="F367" s="20">
        <v>42949</v>
      </c>
      <c r="G367" s="11">
        <v>36</v>
      </c>
      <c r="H367" s="13">
        <f t="shared" si="146"/>
        <v>5806.4516129032254</v>
      </c>
      <c r="I367" s="13">
        <f t="shared" si="152"/>
        <v>0</v>
      </c>
      <c r="J367" s="13">
        <f t="shared" si="160"/>
        <v>290.32258064516128</v>
      </c>
      <c r="L367" s="13">
        <f t="shared" si="161"/>
        <v>929.0322580645161</v>
      </c>
      <c r="N367" s="13">
        <f t="shared" si="164"/>
        <v>6094.4516129032254</v>
      </c>
      <c r="O367" s="13">
        <v>0</v>
      </c>
      <c r="Q367" s="13">
        <f t="shared" si="165"/>
        <v>13120.258064516129</v>
      </c>
      <c r="R367" s="12">
        <f t="shared" si="148"/>
        <v>696.77419354838707</v>
      </c>
      <c r="S367" s="12">
        <f t="shared" si="103"/>
        <v>230</v>
      </c>
      <c r="T367" s="21">
        <v>0</v>
      </c>
      <c r="U367" s="13">
        <v>0</v>
      </c>
      <c r="V367" s="13">
        <f t="shared" si="157"/>
        <v>926.77419354838707</v>
      </c>
      <c r="W367" s="13">
        <f t="shared" si="149"/>
        <v>12193.483870967742</v>
      </c>
      <c r="Y367" s="13">
        <f t="shared" si="153"/>
        <v>12193.483870967742</v>
      </c>
      <c r="Z367" s="12">
        <f t="shared" si="162"/>
        <v>763.54838709677415</v>
      </c>
      <c r="AA367" s="12">
        <f t="shared" si="150"/>
        <v>624</v>
      </c>
      <c r="AB367" s="1">
        <f t="shared" si="154"/>
        <v>0</v>
      </c>
      <c r="AC367" s="16">
        <f t="shared" si="158"/>
        <v>1387.5483870967741</v>
      </c>
      <c r="AD367" s="16">
        <f t="shared" si="151"/>
        <v>14507.806451612903</v>
      </c>
    </row>
    <row r="368" spans="1:30" x14ac:dyDescent="0.2">
      <c r="A368" s="10" t="s">
        <v>1099</v>
      </c>
      <c r="B368" s="11" t="e">
        <f>#REF!+1</f>
        <v>#REF!</v>
      </c>
      <c r="C368" s="11" t="s">
        <v>957</v>
      </c>
      <c r="D368" s="19" t="s">
        <v>50</v>
      </c>
      <c r="E368" s="19" t="s">
        <v>234</v>
      </c>
      <c r="F368" s="20">
        <v>42951</v>
      </c>
      <c r="G368" s="11">
        <v>34</v>
      </c>
      <c r="H368" s="13">
        <f t="shared" si="146"/>
        <v>5483.8709677419356</v>
      </c>
      <c r="I368" s="13">
        <f t="shared" si="152"/>
        <v>0</v>
      </c>
      <c r="J368" s="13">
        <f t="shared" si="160"/>
        <v>274.19354838709677</v>
      </c>
      <c r="L368" s="13">
        <f t="shared" si="161"/>
        <v>877.41935483870964</v>
      </c>
      <c r="N368" s="13">
        <f t="shared" si="164"/>
        <v>5755.8709677419356</v>
      </c>
      <c r="O368" s="13">
        <v>0</v>
      </c>
      <c r="Q368" s="13">
        <f t="shared" si="165"/>
        <v>12391.354838709678</v>
      </c>
      <c r="R368" s="12">
        <f t="shared" si="148"/>
        <v>658.0645161290322</v>
      </c>
      <c r="S368" s="12">
        <f t="shared" si="103"/>
        <v>217</v>
      </c>
      <c r="T368" s="21">
        <v>0</v>
      </c>
      <c r="U368" s="13">
        <v>0</v>
      </c>
      <c r="V368" s="13">
        <f t="shared" si="157"/>
        <v>875.0645161290322</v>
      </c>
      <c r="W368" s="13">
        <f t="shared" si="149"/>
        <v>11516.290322580646</v>
      </c>
      <c r="Y368" s="13">
        <f t="shared" si="153"/>
        <v>11516.290322580646</v>
      </c>
      <c r="Z368" s="12">
        <f t="shared" si="162"/>
        <v>721.12903225806451</v>
      </c>
      <c r="AA368" s="12">
        <f t="shared" si="150"/>
        <v>589</v>
      </c>
      <c r="AB368" s="1">
        <f t="shared" si="154"/>
        <v>0</v>
      </c>
      <c r="AC368" s="16">
        <f t="shared" si="158"/>
        <v>1310.1290322580644</v>
      </c>
      <c r="AD368" s="16">
        <f t="shared" si="151"/>
        <v>13701.483870967742</v>
      </c>
    </row>
    <row r="369" spans="1:30" x14ac:dyDescent="0.2">
      <c r="A369" s="10" t="s">
        <v>1100</v>
      </c>
      <c r="B369" s="11" t="e">
        <f t="shared" si="155"/>
        <v>#REF!</v>
      </c>
      <c r="C369" s="11" t="s">
        <v>357</v>
      </c>
      <c r="D369" s="19" t="s">
        <v>50</v>
      </c>
      <c r="E369" s="19" t="s">
        <v>234</v>
      </c>
      <c r="F369" s="20">
        <v>42948</v>
      </c>
      <c r="G369" s="11">
        <v>27</v>
      </c>
      <c r="H369" s="13">
        <f t="shared" si="146"/>
        <v>4354.8387096774195</v>
      </c>
      <c r="I369" s="13">
        <f t="shared" si="152"/>
        <v>0</v>
      </c>
      <c r="J369" s="13">
        <f t="shared" si="160"/>
        <v>217.74193548387098</v>
      </c>
      <c r="L369" s="13">
        <f t="shared" si="161"/>
        <v>696.77419354838707</v>
      </c>
      <c r="N369" s="13">
        <f t="shared" si="164"/>
        <v>4570.8387096774195</v>
      </c>
      <c r="O369" s="13">
        <v>0</v>
      </c>
      <c r="Q369" s="13">
        <f t="shared" si="165"/>
        <v>9840.1935483870984</v>
      </c>
      <c r="R369" s="12">
        <f t="shared" si="148"/>
        <v>522.58064516129036</v>
      </c>
      <c r="S369" s="12">
        <f t="shared" si="103"/>
        <v>173</v>
      </c>
      <c r="T369" s="21">
        <v>0</v>
      </c>
      <c r="U369" s="13">
        <v>0</v>
      </c>
      <c r="V369" s="13">
        <f t="shared" si="157"/>
        <v>695.58064516129036</v>
      </c>
      <c r="W369" s="13">
        <f t="shared" si="149"/>
        <v>9144.6129032258086</v>
      </c>
      <c r="Y369" s="13">
        <f t="shared" si="153"/>
        <v>9144.6129032258086</v>
      </c>
      <c r="Z369" s="12">
        <f t="shared" si="162"/>
        <v>572.66129032258073</v>
      </c>
      <c r="AA369" s="12">
        <f t="shared" si="150"/>
        <v>468</v>
      </c>
      <c r="AB369" s="1">
        <f t="shared" si="154"/>
        <v>0</v>
      </c>
      <c r="AC369" s="16">
        <f t="shared" si="158"/>
        <v>1040.6612903225807</v>
      </c>
      <c r="AD369" s="16">
        <f t="shared" si="151"/>
        <v>10880.85483870968</v>
      </c>
    </row>
    <row r="370" spans="1:30" x14ac:dyDescent="0.2">
      <c r="A370" s="10" t="s">
        <v>1101</v>
      </c>
      <c r="B370" s="11" t="e">
        <f t="shared" si="155"/>
        <v>#REF!</v>
      </c>
      <c r="C370" s="11" t="s">
        <v>959</v>
      </c>
      <c r="D370" s="19" t="s">
        <v>50</v>
      </c>
      <c r="E370" s="19" t="s">
        <v>234</v>
      </c>
      <c r="F370" s="20">
        <v>42963</v>
      </c>
      <c r="G370" s="11">
        <v>37</v>
      </c>
      <c r="H370" s="13">
        <f t="shared" si="146"/>
        <v>5967.7419354838703</v>
      </c>
      <c r="I370" s="13">
        <f t="shared" si="152"/>
        <v>0</v>
      </c>
      <c r="J370" s="13">
        <f t="shared" si="160"/>
        <v>298.38709677419354</v>
      </c>
      <c r="L370" s="13">
        <f t="shared" si="161"/>
        <v>954.83870967741927</v>
      </c>
      <c r="N370" s="13">
        <f t="shared" si="164"/>
        <v>6263.7419354838703</v>
      </c>
      <c r="O370" s="13">
        <v>0</v>
      </c>
      <c r="Q370" s="13">
        <f t="shared" si="165"/>
        <v>13484.709677419352</v>
      </c>
      <c r="R370" s="12">
        <f t="shared" si="148"/>
        <v>716.1290322580644</v>
      </c>
      <c r="S370" s="12">
        <f t="shared" si="103"/>
        <v>236</v>
      </c>
      <c r="T370" s="21">
        <v>0</v>
      </c>
      <c r="U370" s="13">
        <v>0</v>
      </c>
      <c r="V370" s="13">
        <f t="shared" si="157"/>
        <v>952.1290322580644</v>
      </c>
      <c r="W370" s="13">
        <f t="shared" si="149"/>
        <v>12532.580645161288</v>
      </c>
      <c r="Y370" s="13">
        <f t="shared" si="153"/>
        <v>12532.580645161288</v>
      </c>
      <c r="Z370" s="12">
        <f t="shared" si="162"/>
        <v>784.75806451612902</v>
      </c>
      <c r="AA370" s="12">
        <f t="shared" si="150"/>
        <v>641</v>
      </c>
      <c r="AB370" s="1">
        <f t="shared" si="154"/>
        <v>0</v>
      </c>
      <c r="AC370" s="16">
        <f t="shared" si="158"/>
        <v>1425.758064516129</v>
      </c>
      <c r="AD370" s="16">
        <f t="shared" si="151"/>
        <v>14910.467741935481</v>
      </c>
    </row>
    <row r="371" spans="1:30" x14ac:dyDescent="0.2">
      <c r="A371" s="10" t="s">
        <v>1102</v>
      </c>
      <c r="B371" s="11" t="e">
        <f t="shared" si="155"/>
        <v>#REF!</v>
      </c>
      <c r="C371" s="11" t="s">
        <v>960</v>
      </c>
      <c r="D371" s="19" t="s">
        <v>50</v>
      </c>
      <c r="E371" s="19" t="s">
        <v>234</v>
      </c>
      <c r="F371" s="20">
        <v>42964</v>
      </c>
      <c r="G371" s="11">
        <v>34</v>
      </c>
      <c r="H371" s="13">
        <f t="shared" si="146"/>
        <v>5483.8709677419356</v>
      </c>
      <c r="I371" s="13">
        <f t="shared" si="152"/>
        <v>0</v>
      </c>
      <c r="J371" s="13">
        <f t="shared" si="160"/>
        <v>274.19354838709677</v>
      </c>
      <c r="L371" s="13">
        <f t="shared" si="161"/>
        <v>877.41935483870964</v>
      </c>
      <c r="N371" s="13">
        <f t="shared" si="164"/>
        <v>5755.8709677419356</v>
      </c>
      <c r="O371" s="13">
        <v>0</v>
      </c>
      <c r="Q371" s="13">
        <f t="shared" si="165"/>
        <v>12391.354838709678</v>
      </c>
      <c r="R371" s="12">
        <f t="shared" si="148"/>
        <v>658.0645161290322</v>
      </c>
      <c r="S371" s="12">
        <f t="shared" si="103"/>
        <v>217</v>
      </c>
      <c r="T371" s="21">
        <v>0</v>
      </c>
      <c r="U371" s="13">
        <v>0</v>
      </c>
      <c r="V371" s="13">
        <f t="shared" si="157"/>
        <v>875.0645161290322</v>
      </c>
      <c r="W371" s="13">
        <f t="shared" si="149"/>
        <v>11516.290322580646</v>
      </c>
      <c r="Y371" s="13">
        <f t="shared" si="153"/>
        <v>11516.290322580646</v>
      </c>
      <c r="Z371" s="12">
        <f t="shared" si="162"/>
        <v>721.12903225806451</v>
      </c>
      <c r="AA371" s="12">
        <f t="shared" si="150"/>
        <v>589</v>
      </c>
      <c r="AB371" s="1">
        <f t="shared" si="154"/>
        <v>0</v>
      </c>
      <c r="AC371" s="16">
        <f t="shared" si="158"/>
        <v>1310.1290322580644</v>
      </c>
      <c r="AD371" s="16">
        <f t="shared" si="151"/>
        <v>13701.483870967742</v>
      </c>
    </row>
    <row r="372" spans="1:30" x14ac:dyDescent="0.2">
      <c r="A372" s="10" t="s">
        <v>1103</v>
      </c>
      <c r="B372" s="11" t="e">
        <f t="shared" si="155"/>
        <v>#REF!</v>
      </c>
      <c r="C372" s="11" t="s">
        <v>963</v>
      </c>
      <c r="D372" s="19" t="s">
        <v>50</v>
      </c>
      <c r="E372" s="19" t="s">
        <v>234</v>
      </c>
      <c r="F372" s="20">
        <v>42972</v>
      </c>
      <c r="G372" s="11">
        <v>25</v>
      </c>
      <c r="H372" s="13">
        <f t="shared" si="146"/>
        <v>4032.2580645161288</v>
      </c>
      <c r="I372" s="13">
        <f t="shared" si="152"/>
        <v>0</v>
      </c>
      <c r="J372" s="13">
        <f t="shared" si="160"/>
        <v>201.61290322580646</v>
      </c>
      <c r="L372" s="13">
        <f t="shared" si="161"/>
        <v>645.16129032258061</v>
      </c>
      <c r="N372" s="13">
        <f t="shared" si="164"/>
        <v>4232.2580645161288</v>
      </c>
      <c r="O372" s="13">
        <v>0</v>
      </c>
      <c r="Q372" s="13">
        <f t="shared" si="165"/>
        <v>9111.290322580644</v>
      </c>
      <c r="R372" s="12">
        <f t="shared" si="148"/>
        <v>483.87096774193543</v>
      </c>
      <c r="S372" s="12">
        <f t="shared" si="103"/>
        <v>160</v>
      </c>
      <c r="T372" s="21">
        <v>0</v>
      </c>
      <c r="U372" s="13">
        <v>0</v>
      </c>
      <c r="V372" s="13">
        <f t="shared" si="157"/>
        <v>643.87096774193537</v>
      </c>
      <c r="W372" s="13">
        <f t="shared" si="149"/>
        <v>8467.4193548387084</v>
      </c>
      <c r="Y372" s="13">
        <f t="shared" si="153"/>
        <v>8467.4193548387084</v>
      </c>
      <c r="Z372" s="12">
        <f t="shared" si="162"/>
        <v>530.24193548387098</v>
      </c>
      <c r="AA372" s="12">
        <f t="shared" si="150"/>
        <v>433</v>
      </c>
      <c r="AB372" s="1">
        <f t="shared" si="154"/>
        <v>0</v>
      </c>
      <c r="AC372" s="16">
        <f t="shared" si="158"/>
        <v>963.24193548387098</v>
      </c>
      <c r="AD372" s="16">
        <f t="shared" si="151"/>
        <v>10074.532258064515</v>
      </c>
    </row>
    <row r="373" spans="1:30" x14ac:dyDescent="0.2">
      <c r="A373" s="10" t="s">
        <v>1104</v>
      </c>
      <c r="B373" s="11" t="e">
        <f t="shared" si="155"/>
        <v>#REF!</v>
      </c>
      <c r="C373" s="11" t="s">
        <v>965</v>
      </c>
      <c r="D373" s="19" t="s">
        <v>50</v>
      </c>
      <c r="E373" s="19" t="s">
        <v>234</v>
      </c>
      <c r="F373" s="20">
        <v>42976</v>
      </c>
      <c r="G373" s="11">
        <v>33</v>
      </c>
      <c r="H373" s="13">
        <f t="shared" si="146"/>
        <v>5322.5806451612898</v>
      </c>
      <c r="I373" s="13">
        <f t="shared" si="152"/>
        <v>0</v>
      </c>
      <c r="J373" s="13">
        <f t="shared" si="160"/>
        <v>266.12903225806451</v>
      </c>
      <c r="L373" s="13">
        <f t="shared" si="161"/>
        <v>851.61290322580635</v>
      </c>
      <c r="N373" s="13">
        <f t="shared" si="164"/>
        <v>5586.5806451612898</v>
      </c>
      <c r="O373" s="13">
        <v>0</v>
      </c>
      <c r="Q373" s="13">
        <f t="shared" si="165"/>
        <v>12026.903225806451</v>
      </c>
      <c r="R373" s="12">
        <f t="shared" si="148"/>
        <v>638.70967741935476</v>
      </c>
      <c r="S373" s="12">
        <f t="shared" si="103"/>
        <v>211</v>
      </c>
      <c r="T373" s="21">
        <v>0</v>
      </c>
      <c r="U373" s="13">
        <v>0</v>
      </c>
      <c r="V373" s="13">
        <f t="shared" si="157"/>
        <v>849.70967741935476</v>
      </c>
      <c r="W373" s="13">
        <f t="shared" si="149"/>
        <v>11177.193548387097</v>
      </c>
      <c r="Y373" s="13">
        <f t="shared" si="153"/>
        <v>11177.193548387097</v>
      </c>
      <c r="Z373" s="12">
        <f t="shared" si="162"/>
        <v>699.91935483870964</v>
      </c>
      <c r="AA373" s="12">
        <f t="shared" si="150"/>
        <v>572</v>
      </c>
      <c r="AB373" s="1">
        <f t="shared" si="154"/>
        <v>0</v>
      </c>
      <c r="AC373" s="16">
        <f t="shared" si="158"/>
        <v>1271.9193548387098</v>
      </c>
      <c r="AD373" s="16">
        <f t="shared" si="151"/>
        <v>13298.822580645161</v>
      </c>
    </row>
    <row r="374" spans="1:30" x14ac:dyDescent="0.2">
      <c r="A374" s="10" t="s">
        <v>1105</v>
      </c>
      <c r="B374" s="11" t="e">
        <f t="shared" si="155"/>
        <v>#REF!</v>
      </c>
      <c r="C374" s="11" t="s">
        <v>84</v>
      </c>
      <c r="D374" s="19" t="s">
        <v>50</v>
      </c>
      <c r="E374" s="19" t="s">
        <v>484</v>
      </c>
      <c r="F374" s="20">
        <v>42947</v>
      </c>
      <c r="G374" s="11">
        <v>34</v>
      </c>
      <c r="H374" s="13">
        <f t="shared" si="146"/>
        <v>5483.8709677419356</v>
      </c>
      <c r="I374" s="13">
        <f t="shared" si="152"/>
        <v>0</v>
      </c>
      <c r="J374" s="13">
        <f t="shared" si="160"/>
        <v>274.19354838709677</v>
      </c>
      <c r="L374" s="13">
        <f t="shared" si="161"/>
        <v>877.41935483870964</v>
      </c>
      <c r="N374" s="13">
        <f t="shared" ref="N374:N382" si="166">((4230)/G$3)*G374</f>
        <v>4639.3548387096771</v>
      </c>
      <c r="O374" s="13">
        <v>0</v>
      </c>
      <c r="Q374" s="13">
        <f t="shared" si="165"/>
        <v>11274.838709677419</v>
      </c>
      <c r="R374" s="12">
        <f t="shared" si="148"/>
        <v>658.0645161290322</v>
      </c>
      <c r="S374" s="12">
        <f t="shared" si="103"/>
        <v>198</v>
      </c>
      <c r="T374" s="21">
        <v>0</v>
      </c>
      <c r="U374" s="13">
        <v>0</v>
      </c>
      <c r="V374" s="13">
        <f t="shared" si="157"/>
        <v>856.0645161290322</v>
      </c>
      <c r="W374" s="13">
        <f t="shared" si="149"/>
        <v>10418.774193548386</v>
      </c>
      <c r="Y374" s="13">
        <f t="shared" si="153"/>
        <v>10418.774193548386</v>
      </c>
      <c r="Z374" s="12">
        <f t="shared" si="162"/>
        <v>721.12903225806451</v>
      </c>
      <c r="AA374" s="12">
        <f t="shared" si="150"/>
        <v>536</v>
      </c>
      <c r="AB374" s="1">
        <f t="shared" si="154"/>
        <v>0</v>
      </c>
      <c r="AC374" s="16">
        <f t="shared" si="158"/>
        <v>1257.1290322580644</v>
      </c>
      <c r="AD374" s="16">
        <f t="shared" si="151"/>
        <v>12531.967741935483</v>
      </c>
    </row>
    <row r="375" spans="1:30" x14ac:dyDescent="0.2">
      <c r="A375" s="10" t="s">
        <v>1106</v>
      </c>
      <c r="B375" s="11" t="e">
        <f t="shared" si="155"/>
        <v>#REF!</v>
      </c>
      <c r="C375" s="11" t="s">
        <v>966</v>
      </c>
      <c r="D375" s="19" t="s">
        <v>50</v>
      </c>
      <c r="E375" s="19" t="s">
        <v>484</v>
      </c>
      <c r="F375" s="20">
        <v>42947</v>
      </c>
      <c r="G375" s="11">
        <v>30</v>
      </c>
      <c r="H375" s="13">
        <f t="shared" si="146"/>
        <v>4838.7096774193542</v>
      </c>
      <c r="I375" s="13">
        <f t="shared" si="152"/>
        <v>0</v>
      </c>
      <c r="J375" s="13">
        <f t="shared" si="160"/>
        <v>241.93548387096772</v>
      </c>
      <c r="L375" s="13">
        <f t="shared" si="161"/>
        <v>774.19354838709671</v>
      </c>
      <c r="N375" s="13">
        <f t="shared" si="166"/>
        <v>4093.5483870967737</v>
      </c>
      <c r="O375" s="13">
        <v>0</v>
      </c>
      <c r="Q375" s="13">
        <f t="shared" si="165"/>
        <v>9948.3870967741932</v>
      </c>
      <c r="R375" s="12">
        <f t="shared" si="148"/>
        <v>580.64516129032245</v>
      </c>
      <c r="S375" s="12">
        <f t="shared" si="103"/>
        <v>175</v>
      </c>
      <c r="T375" s="21">
        <v>0</v>
      </c>
      <c r="U375" s="13">
        <v>0</v>
      </c>
      <c r="V375" s="13">
        <f t="shared" si="157"/>
        <v>755.64516129032245</v>
      </c>
      <c r="W375" s="13">
        <f t="shared" si="149"/>
        <v>9192.7419354838712</v>
      </c>
      <c r="Y375" s="13">
        <f t="shared" si="153"/>
        <v>9192.7419354838712</v>
      </c>
      <c r="Z375" s="12">
        <f t="shared" si="162"/>
        <v>636.29032258064512</v>
      </c>
      <c r="AA375" s="12">
        <f t="shared" si="150"/>
        <v>473</v>
      </c>
      <c r="AB375" s="1">
        <f t="shared" si="154"/>
        <v>0</v>
      </c>
      <c r="AC375" s="16">
        <f t="shared" si="158"/>
        <v>1109.2903225806451</v>
      </c>
      <c r="AD375" s="16">
        <f t="shared" si="151"/>
        <v>11057.677419354839</v>
      </c>
    </row>
    <row r="376" spans="1:30" x14ac:dyDescent="0.2">
      <c r="A376" s="10" t="s">
        <v>1107</v>
      </c>
      <c r="B376" s="11" t="e">
        <f t="shared" si="155"/>
        <v>#REF!</v>
      </c>
      <c r="C376" s="11" t="s">
        <v>967</v>
      </c>
      <c r="D376" s="19" t="s">
        <v>50</v>
      </c>
      <c r="E376" s="19" t="s">
        <v>484</v>
      </c>
      <c r="F376" s="20">
        <v>42948</v>
      </c>
      <c r="G376" s="11">
        <v>30</v>
      </c>
      <c r="H376" s="13">
        <f t="shared" si="146"/>
        <v>4838.7096774193542</v>
      </c>
      <c r="I376" s="13">
        <f t="shared" si="152"/>
        <v>0</v>
      </c>
      <c r="J376" s="13">
        <f t="shared" si="160"/>
        <v>241.93548387096772</v>
      </c>
      <c r="L376" s="13">
        <f t="shared" si="161"/>
        <v>774.19354838709671</v>
      </c>
      <c r="N376" s="13">
        <f t="shared" si="166"/>
        <v>4093.5483870967737</v>
      </c>
      <c r="O376" s="13">
        <v>0</v>
      </c>
      <c r="Q376" s="13">
        <f t="shared" si="165"/>
        <v>9948.3870967741932</v>
      </c>
      <c r="R376" s="12">
        <f t="shared" si="148"/>
        <v>580.64516129032245</v>
      </c>
      <c r="S376" s="12">
        <f t="shared" si="103"/>
        <v>175</v>
      </c>
      <c r="T376" s="21">
        <v>0</v>
      </c>
      <c r="U376" s="13">
        <v>0</v>
      </c>
      <c r="V376" s="13">
        <f t="shared" si="157"/>
        <v>755.64516129032245</v>
      </c>
      <c r="W376" s="13">
        <f t="shared" si="149"/>
        <v>9192.7419354838712</v>
      </c>
      <c r="Y376" s="13">
        <f t="shared" si="153"/>
        <v>9192.7419354838712</v>
      </c>
      <c r="Z376" s="12">
        <f t="shared" si="162"/>
        <v>636.29032258064512</v>
      </c>
      <c r="AA376" s="12">
        <f t="shared" si="150"/>
        <v>473</v>
      </c>
      <c r="AB376" s="1">
        <f t="shared" si="154"/>
        <v>0</v>
      </c>
      <c r="AC376" s="16">
        <f t="shared" si="158"/>
        <v>1109.2903225806451</v>
      </c>
      <c r="AD376" s="16">
        <f t="shared" si="151"/>
        <v>11057.677419354839</v>
      </c>
    </row>
    <row r="377" spans="1:30" x14ac:dyDescent="0.2">
      <c r="A377" s="10" t="s">
        <v>1108</v>
      </c>
      <c r="B377" s="11" t="e">
        <f t="shared" si="155"/>
        <v>#REF!</v>
      </c>
      <c r="C377" s="11" t="s">
        <v>968</v>
      </c>
      <c r="D377" s="19" t="s">
        <v>50</v>
      </c>
      <c r="E377" s="19" t="s">
        <v>484</v>
      </c>
      <c r="F377" s="20">
        <v>42949</v>
      </c>
      <c r="G377" s="11">
        <v>32</v>
      </c>
      <c r="H377" s="13">
        <f t="shared" si="146"/>
        <v>5161.2903225806449</v>
      </c>
      <c r="I377" s="13">
        <f t="shared" si="152"/>
        <v>0</v>
      </c>
      <c r="J377" s="13">
        <f t="shared" si="160"/>
        <v>258.06451612903226</v>
      </c>
      <c r="L377" s="13">
        <f t="shared" si="161"/>
        <v>825.80645161290317</v>
      </c>
      <c r="N377" s="13">
        <f t="shared" si="166"/>
        <v>4366.4516129032254</v>
      </c>
      <c r="O377" s="13">
        <v>0</v>
      </c>
      <c r="Q377" s="13">
        <f t="shared" si="165"/>
        <v>10611.612903225807</v>
      </c>
      <c r="R377" s="12">
        <f t="shared" si="148"/>
        <v>619.35483870967732</v>
      </c>
      <c r="S377" s="12">
        <f t="shared" si="103"/>
        <v>186</v>
      </c>
      <c r="T377" s="21">
        <v>0</v>
      </c>
      <c r="U377" s="13">
        <v>0</v>
      </c>
      <c r="V377" s="13">
        <f t="shared" si="157"/>
        <v>805.35483870967732</v>
      </c>
      <c r="W377" s="13">
        <f t="shared" si="149"/>
        <v>9806.2580645161288</v>
      </c>
      <c r="Y377" s="13">
        <f t="shared" si="153"/>
        <v>9806.2580645161288</v>
      </c>
      <c r="Z377" s="12">
        <f t="shared" si="162"/>
        <v>678.70967741935488</v>
      </c>
      <c r="AA377" s="12">
        <f t="shared" si="150"/>
        <v>505</v>
      </c>
      <c r="AB377" s="1">
        <f t="shared" si="154"/>
        <v>0</v>
      </c>
      <c r="AC377" s="16">
        <f t="shared" si="158"/>
        <v>1183.7096774193549</v>
      </c>
      <c r="AD377" s="16">
        <f t="shared" si="151"/>
        <v>11795.322580645161</v>
      </c>
    </row>
    <row r="378" spans="1:30" x14ac:dyDescent="0.2">
      <c r="A378" s="10" t="s">
        <v>1109</v>
      </c>
      <c r="B378" s="11" t="e">
        <f t="shared" si="155"/>
        <v>#REF!</v>
      </c>
      <c r="C378" s="11" t="s">
        <v>969</v>
      </c>
      <c r="D378" s="19" t="s">
        <v>50</v>
      </c>
      <c r="E378" s="19" t="s">
        <v>484</v>
      </c>
      <c r="F378" s="20">
        <v>42950</v>
      </c>
      <c r="G378" s="11">
        <v>27</v>
      </c>
      <c r="H378" s="13">
        <f t="shared" si="146"/>
        <v>4354.8387096774195</v>
      </c>
      <c r="I378" s="13">
        <f t="shared" si="152"/>
        <v>0</v>
      </c>
      <c r="J378" s="13">
        <f t="shared" si="160"/>
        <v>217.74193548387098</v>
      </c>
      <c r="L378" s="13">
        <f t="shared" si="161"/>
        <v>696.77419354838707</v>
      </c>
      <c r="N378" s="13">
        <f t="shared" si="166"/>
        <v>3684.1935483870966</v>
      </c>
      <c r="O378" s="13">
        <v>0</v>
      </c>
      <c r="Q378" s="13">
        <f t="shared" si="165"/>
        <v>8953.5483870967746</v>
      </c>
      <c r="R378" s="12">
        <f t="shared" si="148"/>
        <v>522.58064516129036</v>
      </c>
      <c r="S378" s="12">
        <f t="shared" si="103"/>
        <v>157</v>
      </c>
      <c r="T378" s="21">
        <v>0</v>
      </c>
      <c r="U378" s="13">
        <v>0</v>
      </c>
      <c r="V378" s="13">
        <f t="shared" si="157"/>
        <v>679.58064516129036</v>
      </c>
      <c r="W378" s="13">
        <f t="shared" si="149"/>
        <v>8273.9677419354848</v>
      </c>
      <c r="Y378" s="13">
        <f t="shared" si="153"/>
        <v>8273.9677419354848</v>
      </c>
      <c r="Z378" s="12">
        <f t="shared" si="162"/>
        <v>572.66129032258073</v>
      </c>
      <c r="AA378" s="12">
        <f t="shared" si="150"/>
        <v>426</v>
      </c>
      <c r="AB378" s="1">
        <f t="shared" si="154"/>
        <v>0</v>
      </c>
      <c r="AC378" s="16">
        <f t="shared" si="158"/>
        <v>998.66129032258073</v>
      </c>
      <c r="AD378" s="16">
        <f t="shared" si="151"/>
        <v>9952.209677419356</v>
      </c>
    </row>
    <row r="379" spans="1:30" x14ac:dyDescent="0.2">
      <c r="A379" s="10" t="s">
        <v>1110</v>
      </c>
      <c r="B379" s="11" t="e">
        <f>#REF!+1</f>
        <v>#REF!</v>
      </c>
      <c r="C379" s="11" t="s">
        <v>972</v>
      </c>
      <c r="D379" s="19" t="s">
        <v>50</v>
      </c>
      <c r="E379" s="19" t="s">
        <v>484</v>
      </c>
      <c r="F379" s="20">
        <v>42959</v>
      </c>
      <c r="G379" s="11">
        <v>10.5</v>
      </c>
      <c r="H379" s="13">
        <f t="shared" si="146"/>
        <v>1693.5483870967741</v>
      </c>
      <c r="I379" s="13">
        <f t="shared" si="152"/>
        <v>0</v>
      </c>
      <c r="J379" s="13">
        <f t="shared" si="160"/>
        <v>84.677419354838719</v>
      </c>
      <c r="L379" s="13">
        <f t="shared" si="161"/>
        <v>270.96774193548384</v>
      </c>
      <c r="N379" s="13">
        <f t="shared" si="166"/>
        <v>1432.7419354838707</v>
      </c>
      <c r="O379" s="13">
        <v>0</v>
      </c>
      <c r="Q379" s="13">
        <f t="shared" si="165"/>
        <v>3481.9354838709673</v>
      </c>
      <c r="R379" s="12">
        <f t="shared" si="148"/>
        <v>203.2258064516129</v>
      </c>
      <c r="S379" s="12">
        <f t="shared" si="103"/>
        <v>61</v>
      </c>
      <c r="T379" s="21">
        <v>0</v>
      </c>
      <c r="U379" s="13">
        <v>0</v>
      </c>
      <c r="V379" s="13">
        <f t="shared" si="157"/>
        <v>264.22580645161293</v>
      </c>
      <c r="W379" s="13">
        <f t="shared" si="149"/>
        <v>3217.7096774193542</v>
      </c>
      <c r="Y379" s="13">
        <f t="shared" si="153"/>
        <v>3217.7096774193542</v>
      </c>
      <c r="Z379" s="12">
        <f t="shared" si="162"/>
        <v>222.70161290322582</v>
      </c>
      <c r="AA379" s="12">
        <f t="shared" si="150"/>
        <v>166</v>
      </c>
      <c r="AB379" s="1">
        <f t="shared" si="154"/>
        <v>0</v>
      </c>
      <c r="AC379" s="16">
        <f t="shared" si="158"/>
        <v>388.70161290322585</v>
      </c>
      <c r="AD379" s="16">
        <f t="shared" si="151"/>
        <v>3870.6370967741932</v>
      </c>
    </row>
    <row r="380" spans="1:30" x14ac:dyDescent="0.2">
      <c r="A380" s="10" t="s">
        <v>1111</v>
      </c>
      <c r="B380" s="11" t="e">
        <f t="shared" si="155"/>
        <v>#REF!</v>
      </c>
      <c r="C380" s="11" t="s">
        <v>956</v>
      </c>
      <c r="D380" s="19" t="s">
        <v>50</v>
      </c>
      <c r="E380" s="19" t="s">
        <v>484</v>
      </c>
      <c r="F380" s="20">
        <v>42966</v>
      </c>
      <c r="G380" s="11">
        <v>25</v>
      </c>
      <c r="H380" s="13">
        <f t="shared" si="146"/>
        <v>4032.2580645161288</v>
      </c>
      <c r="I380" s="13">
        <f t="shared" si="152"/>
        <v>0</v>
      </c>
      <c r="J380" s="13">
        <f t="shared" si="160"/>
        <v>201.61290322580646</v>
      </c>
      <c r="L380" s="13">
        <f t="shared" si="161"/>
        <v>645.16129032258061</v>
      </c>
      <c r="N380" s="13">
        <f t="shared" si="166"/>
        <v>3411.2903225806449</v>
      </c>
      <c r="O380" s="13">
        <v>0</v>
      </c>
      <c r="Q380" s="13">
        <f t="shared" si="165"/>
        <v>8290.322580645161</v>
      </c>
      <c r="R380" s="12">
        <f t="shared" si="148"/>
        <v>483.87096774193543</v>
      </c>
      <c r="S380" s="12">
        <f t="shared" si="103"/>
        <v>146</v>
      </c>
      <c r="T380" s="21">
        <v>0</v>
      </c>
      <c r="U380" s="13">
        <v>0</v>
      </c>
      <c r="V380" s="13">
        <f t="shared" si="157"/>
        <v>629.87096774193537</v>
      </c>
      <c r="W380" s="13">
        <f t="shared" si="149"/>
        <v>7660.4516129032254</v>
      </c>
      <c r="Y380" s="13">
        <f t="shared" si="153"/>
        <v>7660.4516129032254</v>
      </c>
      <c r="Z380" s="12">
        <f t="shared" si="162"/>
        <v>530.24193548387098</v>
      </c>
      <c r="AA380" s="12">
        <f t="shared" si="150"/>
        <v>394</v>
      </c>
      <c r="AB380" s="1">
        <f t="shared" si="154"/>
        <v>0</v>
      </c>
      <c r="AC380" s="16">
        <f t="shared" si="158"/>
        <v>924.24193548387098</v>
      </c>
      <c r="AD380" s="16">
        <f t="shared" si="151"/>
        <v>9214.5645161290322</v>
      </c>
    </row>
    <row r="381" spans="1:30" x14ac:dyDescent="0.2">
      <c r="A381" s="10" t="s">
        <v>1112</v>
      </c>
      <c r="B381" s="11" t="e">
        <f t="shared" si="155"/>
        <v>#REF!</v>
      </c>
      <c r="C381" s="11" t="s">
        <v>973</v>
      </c>
      <c r="D381" s="19" t="s">
        <v>50</v>
      </c>
      <c r="E381" s="19" t="s">
        <v>484</v>
      </c>
      <c r="F381" s="20">
        <v>42967</v>
      </c>
      <c r="G381" s="11">
        <v>34</v>
      </c>
      <c r="H381" s="13">
        <f t="shared" ref="H381:H444" si="167">(5000/G$3)*G381</f>
        <v>5483.8709677419356</v>
      </c>
      <c r="I381" s="13">
        <f t="shared" si="152"/>
        <v>0</v>
      </c>
      <c r="J381" s="13">
        <f t="shared" si="160"/>
        <v>274.19354838709677</v>
      </c>
      <c r="L381" s="13">
        <f t="shared" si="161"/>
        <v>877.41935483870964</v>
      </c>
      <c r="N381" s="13">
        <f t="shared" si="166"/>
        <v>4639.3548387096771</v>
      </c>
      <c r="O381" s="13">
        <v>0</v>
      </c>
      <c r="Q381" s="13">
        <f t="shared" si="165"/>
        <v>11274.838709677419</v>
      </c>
      <c r="R381" s="12">
        <f t="shared" si="148"/>
        <v>658.0645161290322</v>
      </c>
      <c r="S381" s="12">
        <f t="shared" si="103"/>
        <v>198</v>
      </c>
      <c r="T381" s="21">
        <v>0</v>
      </c>
      <c r="U381" s="13">
        <v>0</v>
      </c>
      <c r="V381" s="13">
        <f t="shared" si="157"/>
        <v>856.0645161290322</v>
      </c>
      <c r="W381" s="13">
        <f t="shared" si="149"/>
        <v>10418.774193548386</v>
      </c>
      <c r="Y381" s="13">
        <f t="shared" si="153"/>
        <v>10418.774193548386</v>
      </c>
      <c r="Z381" s="12">
        <f t="shared" si="162"/>
        <v>721.12903225806451</v>
      </c>
      <c r="AA381" s="12">
        <f t="shared" si="150"/>
        <v>536</v>
      </c>
      <c r="AB381" s="1">
        <f t="shared" si="154"/>
        <v>0</v>
      </c>
      <c r="AC381" s="16">
        <f t="shared" si="158"/>
        <v>1257.1290322580644</v>
      </c>
      <c r="AD381" s="16">
        <f t="shared" si="151"/>
        <v>12531.967741935483</v>
      </c>
    </row>
    <row r="382" spans="1:30" x14ac:dyDescent="0.2">
      <c r="A382" s="10" t="s">
        <v>1113</v>
      </c>
      <c r="B382" s="11" t="e">
        <f t="shared" si="155"/>
        <v>#REF!</v>
      </c>
      <c r="C382" s="11" t="s">
        <v>974</v>
      </c>
      <c r="D382" s="19" t="s">
        <v>50</v>
      </c>
      <c r="E382" s="19" t="s">
        <v>484</v>
      </c>
      <c r="F382" s="20">
        <v>42967</v>
      </c>
      <c r="G382" s="11">
        <v>29</v>
      </c>
      <c r="H382" s="13">
        <f t="shared" si="167"/>
        <v>4677.4193548387093</v>
      </c>
      <c r="I382" s="13">
        <f t="shared" si="152"/>
        <v>0</v>
      </c>
      <c r="J382" s="13">
        <f t="shared" si="160"/>
        <v>233.87096774193549</v>
      </c>
      <c r="L382" s="13">
        <f t="shared" si="161"/>
        <v>748.38709677419354</v>
      </c>
      <c r="N382" s="13">
        <f t="shared" si="166"/>
        <v>3957.0967741935478</v>
      </c>
      <c r="O382" s="13">
        <v>0</v>
      </c>
      <c r="Q382" s="13">
        <f t="shared" si="165"/>
        <v>9616.7741935483864</v>
      </c>
      <c r="R382" s="12">
        <f t="shared" si="148"/>
        <v>561.29032258064512</v>
      </c>
      <c r="S382" s="12">
        <f t="shared" si="103"/>
        <v>169</v>
      </c>
      <c r="T382" s="21">
        <v>0</v>
      </c>
      <c r="U382" s="13">
        <v>0</v>
      </c>
      <c r="V382" s="13">
        <f t="shared" si="157"/>
        <v>730.29032258064512</v>
      </c>
      <c r="W382" s="13">
        <f t="shared" si="149"/>
        <v>8886.4838709677406</v>
      </c>
      <c r="Y382" s="13">
        <f t="shared" si="153"/>
        <v>8886.4838709677406</v>
      </c>
      <c r="Z382" s="12">
        <f t="shared" si="162"/>
        <v>615.08064516129025</v>
      </c>
      <c r="AA382" s="12">
        <f t="shared" si="150"/>
        <v>457</v>
      </c>
      <c r="AB382" s="1">
        <f t="shared" si="154"/>
        <v>0</v>
      </c>
      <c r="AC382" s="16">
        <f t="shared" si="158"/>
        <v>1072.0806451612902</v>
      </c>
      <c r="AD382" s="16">
        <f t="shared" si="151"/>
        <v>10688.854838709676</v>
      </c>
    </row>
    <row r="383" spans="1:30" x14ac:dyDescent="0.2">
      <c r="A383" s="10" t="s">
        <v>1114</v>
      </c>
      <c r="B383" s="11" t="e">
        <f>#REF!+1</f>
        <v>#REF!</v>
      </c>
      <c r="C383" s="11" t="s">
        <v>969</v>
      </c>
      <c r="D383" s="19" t="s">
        <v>50</v>
      </c>
      <c r="E383" s="19" t="s">
        <v>238</v>
      </c>
      <c r="F383" s="20">
        <v>42948</v>
      </c>
      <c r="G383" s="11">
        <v>17</v>
      </c>
      <c r="H383" s="13">
        <f t="shared" si="167"/>
        <v>2741.9354838709678</v>
      </c>
      <c r="I383" s="13">
        <f t="shared" si="152"/>
        <v>0</v>
      </c>
      <c r="J383" s="13">
        <f t="shared" si="160"/>
        <v>137.09677419354838</v>
      </c>
      <c r="L383" s="13">
        <f t="shared" si="161"/>
        <v>438.70967741935482</v>
      </c>
      <c r="N383" s="13">
        <f t="shared" si="164"/>
        <v>2877.9354838709678</v>
      </c>
      <c r="O383" s="13">
        <v>0</v>
      </c>
      <c r="Q383" s="13">
        <f t="shared" si="165"/>
        <v>6195.677419354839</v>
      </c>
      <c r="R383" s="12">
        <f t="shared" si="148"/>
        <v>329.0322580645161</v>
      </c>
      <c r="S383" s="12">
        <f t="shared" si="103"/>
        <v>109</v>
      </c>
      <c r="T383" s="21">
        <v>0</v>
      </c>
      <c r="U383" s="13">
        <v>0</v>
      </c>
      <c r="V383" s="13">
        <f t="shared" si="157"/>
        <v>438.0322580645161</v>
      </c>
      <c r="W383" s="13">
        <f t="shared" si="149"/>
        <v>5757.6451612903229</v>
      </c>
      <c r="Y383" s="13">
        <f t="shared" si="153"/>
        <v>5757.6451612903229</v>
      </c>
      <c r="Z383" s="12">
        <f t="shared" si="162"/>
        <v>360.56451612903226</v>
      </c>
      <c r="AA383" s="12">
        <f t="shared" si="150"/>
        <v>295</v>
      </c>
      <c r="AB383" s="1">
        <f t="shared" si="154"/>
        <v>0</v>
      </c>
      <c r="AC383" s="16">
        <f t="shared" si="158"/>
        <v>655.5645161290322</v>
      </c>
      <c r="AD383" s="16">
        <f t="shared" si="151"/>
        <v>6851.2419354838712</v>
      </c>
    </row>
    <row r="384" spans="1:30" x14ac:dyDescent="0.2">
      <c r="A384" s="10" t="s">
        <v>1115</v>
      </c>
      <c r="B384" s="11" t="e">
        <f t="shared" si="155"/>
        <v>#REF!</v>
      </c>
      <c r="C384" s="11" t="s">
        <v>979</v>
      </c>
      <c r="D384" s="19" t="s">
        <v>50</v>
      </c>
      <c r="E384" s="19" t="s">
        <v>238</v>
      </c>
      <c r="F384" s="20">
        <v>42948</v>
      </c>
      <c r="G384" s="11">
        <v>32</v>
      </c>
      <c r="H384" s="13">
        <f t="shared" si="167"/>
        <v>5161.2903225806449</v>
      </c>
      <c r="I384" s="13">
        <f t="shared" si="152"/>
        <v>0</v>
      </c>
      <c r="J384" s="13">
        <f t="shared" si="160"/>
        <v>258.06451612903226</v>
      </c>
      <c r="L384" s="13">
        <f t="shared" si="161"/>
        <v>825.80645161290317</v>
      </c>
      <c r="N384" s="13">
        <f t="shared" si="164"/>
        <v>5417.2903225806449</v>
      </c>
      <c r="O384" s="13">
        <v>0</v>
      </c>
      <c r="Q384" s="13">
        <f t="shared" si="165"/>
        <v>11662.451612903225</v>
      </c>
      <c r="R384" s="12">
        <f t="shared" si="148"/>
        <v>619.35483870967732</v>
      </c>
      <c r="S384" s="12">
        <f t="shared" si="103"/>
        <v>205</v>
      </c>
      <c r="T384" s="21">
        <v>0</v>
      </c>
      <c r="U384" s="13">
        <v>0</v>
      </c>
      <c r="V384" s="13">
        <f t="shared" si="157"/>
        <v>824.35483870967732</v>
      </c>
      <c r="W384" s="13">
        <f t="shared" si="149"/>
        <v>10838.096774193547</v>
      </c>
      <c r="Y384" s="13">
        <f t="shared" si="153"/>
        <v>10838.096774193547</v>
      </c>
      <c r="Z384" s="12">
        <f t="shared" si="162"/>
        <v>678.70967741935488</v>
      </c>
      <c r="AA384" s="12">
        <f t="shared" si="150"/>
        <v>554</v>
      </c>
      <c r="AB384" s="1">
        <f t="shared" si="154"/>
        <v>0</v>
      </c>
      <c r="AC384" s="16">
        <f t="shared" si="158"/>
        <v>1232.7096774193549</v>
      </c>
      <c r="AD384" s="16">
        <f t="shared" si="151"/>
        <v>12895.16129032258</v>
      </c>
    </row>
    <row r="385" spans="1:30" x14ac:dyDescent="0.2">
      <c r="A385" s="10" t="s">
        <v>1116</v>
      </c>
      <c r="B385" s="11" t="e">
        <f t="shared" si="155"/>
        <v>#REF!</v>
      </c>
      <c r="C385" s="11" t="s">
        <v>980</v>
      </c>
      <c r="D385" s="19" t="s">
        <v>50</v>
      </c>
      <c r="E385" s="19" t="s">
        <v>484</v>
      </c>
      <c r="F385" s="20">
        <v>42957</v>
      </c>
      <c r="G385" s="11">
        <v>32</v>
      </c>
      <c r="H385" s="13">
        <f t="shared" si="167"/>
        <v>5161.2903225806449</v>
      </c>
      <c r="I385" s="13">
        <f t="shared" si="152"/>
        <v>0</v>
      </c>
      <c r="J385" s="13">
        <f t="shared" si="160"/>
        <v>258.06451612903226</v>
      </c>
      <c r="L385" s="13">
        <f t="shared" si="161"/>
        <v>825.80645161290317</v>
      </c>
      <c r="N385" s="13">
        <f t="shared" ref="N385:N386" si="168">((4230)/G$3)*G385</f>
        <v>4366.4516129032254</v>
      </c>
      <c r="O385" s="13">
        <v>0</v>
      </c>
      <c r="Q385" s="13">
        <f t="shared" si="165"/>
        <v>10611.612903225807</v>
      </c>
      <c r="R385" s="12">
        <f t="shared" si="148"/>
        <v>619.35483870967732</v>
      </c>
      <c r="S385" s="12">
        <f t="shared" si="103"/>
        <v>186</v>
      </c>
      <c r="T385" s="21">
        <v>0</v>
      </c>
      <c r="U385" s="13">
        <v>0</v>
      </c>
      <c r="V385" s="13">
        <f t="shared" si="157"/>
        <v>805.35483870967732</v>
      </c>
      <c r="W385" s="13">
        <f t="shared" si="149"/>
        <v>9806.2580645161288</v>
      </c>
      <c r="Y385" s="13">
        <f t="shared" si="153"/>
        <v>9806.2580645161288</v>
      </c>
      <c r="Z385" s="12">
        <f t="shared" si="162"/>
        <v>678.70967741935488</v>
      </c>
      <c r="AA385" s="12">
        <f t="shared" si="150"/>
        <v>505</v>
      </c>
      <c r="AB385" s="1">
        <f t="shared" si="154"/>
        <v>0</v>
      </c>
      <c r="AC385" s="16">
        <f t="shared" si="158"/>
        <v>1183.7096774193549</v>
      </c>
      <c r="AD385" s="16">
        <f t="shared" si="151"/>
        <v>11795.322580645161</v>
      </c>
    </row>
    <row r="386" spans="1:30" x14ac:dyDescent="0.2">
      <c r="A386" s="10" t="s">
        <v>1117</v>
      </c>
      <c r="B386" s="11" t="e">
        <f t="shared" si="155"/>
        <v>#REF!</v>
      </c>
      <c r="C386" s="11" t="s">
        <v>981</v>
      </c>
      <c r="D386" s="19" t="s">
        <v>50</v>
      </c>
      <c r="E386" s="19" t="s">
        <v>239</v>
      </c>
      <c r="F386" s="20">
        <v>42957</v>
      </c>
      <c r="G386" s="11">
        <v>33</v>
      </c>
      <c r="H386" s="13">
        <f t="shared" si="167"/>
        <v>5322.5806451612898</v>
      </c>
      <c r="I386" s="13">
        <f t="shared" si="152"/>
        <v>0</v>
      </c>
      <c r="J386" s="13">
        <f t="shared" si="160"/>
        <v>266.12903225806451</v>
      </c>
      <c r="L386" s="13">
        <f t="shared" si="161"/>
        <v>851.61290322580635</v>
      </c>
      <c r="N386" s="13">
        <f t="shared" si="168"/>
        <v>4502.9032258064508</v>
      </c>
      <c r="O386" s="13">
        <v>0</v>
      </c>
      <c r="Q386" s="13">
        <f t="shared" si="165"/>
        <v>10943.225806451612</v>
      </c>
      <c r="R386" s="12">
        <f t="shared" si="148"/>
        <v>638.70967741935476</v>
      </c>
      <c r="S386" s="12">
        <f t="shared" si="103"/>
        <v>192</v>
      </c>
      <c r="T386" s="21">
        <v>0</v>
      </c>
      <c r="U386" s="13">
        <v>0</v>
      </c>
      <c r="V386" s="13">
        <f t="shared" si="157"/>
        <v>830.70967741935476</v>
      </c>
      <c r="W386" s="13">
        <f t="shared" si="149"/>
        <v>10112.516129032258</v>
      </c>
      <c r="Y386" s="13">
        <f t="shared" si="153"/>
        <v>10112.516129032258</v>
      </c>
      <c r="Z386" s="12">
        <f t="shared" si="162"/>
        <v>699.91935483870964</v>
      </c>
      <c r="AA386" s="12">
        <f t="shared" si="150"/>
        <v>520</v>
      </c>
      <c r="AB386" s="1">
        <f t="shared" si="154"/>
        <v>0</v>
      </c>
      <c r="AC386" s="16">
        <f t="shared" si="158"/>
        <v>1219.9193548387098</v>
      </c>
      <c r="AD386" s="16">
        <f t="shared" si="151"/>
        <v>12163.145161290322</v>
      </c>
    </row>
    <row r="387" spans="1:30" x14ac:dyDescent="0.2">
      <c r="A387" s="10" t="s">
        <v>1118</v>
      </c>
      <c r="B387" s="11" t="e">
        <f t="shared" si="155"/>
        <v>#REF!</v>
      </c>
      <c r="C387" s="11" t="s">
        <v>982</v>
      </c>
      <c r="D387" s="19" t="s">
        <v>50</v>
      </c>
      <c r="E387" s="19" t="s">
        <v>239</v>
      </c>
      <c r="F387" s="20">
        <v>42948</v>
      </c>
      <c r="G387" s="11">
        <v>9</v>
      </c>
      <c r="H387" s="13">
        <f t="shared" si="167"/>
        <v>1451.6129032258063</v>
      </c>
      <c r="I387" s="13">
        <f t="shared" si="152"/>
        <v>0</v>
      </c>
      <c r="J387" s="13">
        <f t="shared" si="160"/>
        <v>72.58064516129032</v>
      </c>
      <c r="L387" s="13">
        <f t="shared" si="161"/>
        <v>232.25806451612902</v>
      </c>
      <c r="N387" s="13">
        <f>((4230+1018)/G$3)*G387</f>
        <v>1523.6129032258063</v>
      </c>
      <c r="O387" s="13">
        <v>0</v>
      </c>
      <c r="Q387" s="13">
        <f t="shared" si="165"/>
        <v>3280.0645161290322</v>
      </c>
      <c r="R387" s="12">
        <f t="shared" si="148"/>
        <v>174.19354838709677</v>
      </c>
      <c r="S387" s="12">
        <f t="shared" si="103"/>
        <v>58</v>
      </c>
      <c r="T387" s="21">
        <v>0</v>
      </c>
      <c r="U387" s="13">
        <v>0</v>
      </c>
      <c r="V387" s="13">
        <f t="shared" si="157"/>
        <v>232.19354838709677</v>
      </c>
      <c r="W387" s="13">
        <f t="shared" si="149"/>
        <v>3047.8709677419356</v>
      </c>
      <c r="Y387" s="13">
        <f t="shared" si="153"/>
        <v>3047.8709677419356</v>
      </c>
      <c r="Z387" s="12">
        <f t="shared" si="162"/>
        <v>190.88709677419354</v>
      </c>
      <c r="AA387" s="12">
        <f t="shared" si="150"/>
        <v>156</v>
      </c>
      <c r="AB387" s="1">
        <f t="shared" si="154"/>
        <v>0</v>
      </c>
      <c r="AC387" s="16">
        <f t="shared" si="158"/>
        <v>346.88709677419354</v>
      </c>
      <c r="AD387" s="16">
        <f t="shared" si="151"/>
        <v>3626.9516129032259</v>
      </c>
    </row>
    <row r="388" spans="1:30" x14ac:dyDescent="0.2">
      <c r="A388" s="10" t="s">
        <v>1119</v>
      </c>
      <c r="B388" s="11" t="e">
        <f t="shared" si="155"/>
        <v>#REF!</v>
      </c>
      <c r="C388" s="11" t="s">
        <v>983</v>
      </c>
      <c r="D388" s="19" t="s">
        <v>50</v>
      </c>
      <c r="E388" s="19" t="s">
        <v>708</v>
      </c>
      <c r="F388" s="20">
        <v>42948</v>
      </c>
      <c r="G388" s="11">
        <v>32</v>
      </c>
      <c r="H388" s="13">
        <f t="shared" si="167"/>
        <v>5161.2903225806449</v>
      </c>
      <c r="I388" s="13">
        <f t="shared" si="152"/>
        <v>0</v>
      </c>
      <c r="J388" s="13">
        <f t="shared" si="160"/>
        <v>258.06451612903226</v>
      </c>
      <c r="L388" s="13">
        <f t="shared" si="161"/>
        <v>825.80645161290317</v>
      </c>
      <c r="N388" s="13">
        <f t="shared" ref="N388:N390" si="169">((4230)/G$3)*G388</f>
        <v>4366.4516129032254</v>
      </c>
      <c r="O388" s="13">
        <v>0</v>
      </c>
      <c r="Q388" s="13">
        <f t="shared" si="165"/>
        <v>10611.612903225807</v>
      </c>
      <c r="R388" s="12">
        <f t="shared" si="148"/>
        <v>619.35483870967732</v>
      </c>
      <c r="S388" s="12">
        <f t="shared" si="103"/>
        <v>186</v>
      </c>
      <c r="T388" s="21">
        <v>0</v>
      </c>
      <c r="U388" s="13">
        <v>0</v>
      </c>
      <c r="V388" s="13">
        <f t="shared" si="157"/>
        <v>805.35483870967732</v>
      </c>
      <c r="W388" s="13">
        <f t="shared" si="149"/>
        <v>9806.2580645161288</v>
      </c>
      <c r="Y388" s="13">
        <f t="shared" si="153"/>
        <v>9806.2580645161288</v>
      </c>
      <c r="Z388" s="12">
        <f t="shared" si="162"/>
        <v>678.70967741935488</v>
      </c>
      <c r="AA388" s="12">
        <f t="shared" si="150"/>
        <v>505</v>
      </c>
      <c r="AB388" s="1">
        <f t="shared" si="154"/>
        <v>0</v>
      </c>
      <c r="AC388" s="16">
        <f t="shared" si="158"/>
        <v>1183.7096774193549</v>
      </c>
      <c r="AD388" s="16">
        <f t="shared" si="151"/>
        <v>11795.322580645161</v>
      </c>
    </row>
    <row r="389" spans="1:30" x14ac:dyDescent="0.2">
      <c r="A389" s="10" t="s">
        <v>1120</v>
      </c>
      <c r="B389" s="11" t="e">
        <f t="shared" si="155"/>
        <v>#REF!</v>
      </c>
      <c r="C389" s="11" t="s">
        <v>984</v>
      </c>
      <c r="D389" s="19" t="s">
        <v>50</v>
      </c>
      <c r="E389" s="19" t="s">
        <v>242</v>
      </c>
      <c r="F389" s="20">
        <v>42960</v>
      </c>
      <c r="G389" s="11">
        <v>35</v>
      </c>
      <c r="H389" s="13">
        <f t="shared" si="167"/>
        <v>5645.1612903225805</v>
      </c>
      <c r="I389" s="13">
        <f t="shared" si="152"/>
        <v>0</v>
      </c>
      <c r="J389" s="13">
        <f t="shared" si="160"/>
        <v>282.25806451612902</v>
      </c>
      <c r="L389" s="13">
        <f t="shared" si="161"/>
        <v>903.22580645161281</v>
      </c>
      <c r="N389" s="13">
        <f t="shared" si="169"/>
        <v>4775.8064516129025</v>
      </c>
      <c r="O389" s="13">
        <v>0</v>
      </c>
      <c r="Q389" s="13">
        <f t="shared" si="165"/>
        <v>11606.451612903224</v>
      </c>
      <c r="R389" s="12">
        <f t="shared" si="148"/>
        <v>677.41935483870964</v>
      </c>
      <c r="S389" s="12">
        <f t="shared" si="103"/>
        <v>204</v>
      </c>
      <c r="T389" s="21">
        <v>0</v>
      </c>
      <c r="U389" s="13">
        <v>0</v>
      </c>
      <c r="V389" s="13">
        <f t="shared" si="157"/>
        <v>881.41935483870964</v>
      </c>
      <c r="W389" s="13">
        <f t="shared" si="149"/>
        <v>10725.032258064513</v>
      </c>
      <c r="Y389" s="13">
        <f t="shared" si="153"/>
        <v>10725.032258064513</v>
      </c>
      <c r="Z389" s="12">
        <f t="shared" si="162"/>
        <v>742.33870967741939</v>
      </c>
      <c r="AA389" s="12">
        <f t="shared" si="150"/>
        <v>552</v>
      </c>
      <c r="AB389" s="1">
        <f t="shared" si="154"/>
        <v>0</v>
      </c>
      <c r="AC389" s="16">
        <f t="shared" si="158"/>
        <v>1294.3387096774195</v>
      </c>
      <c r="AD389" s="16">
        <f t="shared" si="151"/>
        <v>12900.790322580644</v>
      </c>
    </row>
    <row r="390" spans="1:30" x14ac:dyDescent="0.2">
      <c r="A390" s="10" t="s">
        <v>1121</v>
      </c>
      <c r="B390" s="11" t="e">
        <f t="shared" si="155"/>
        <v>#REF!</v>
      </c>
      <c r="C390" s="11" t="s">
        <v>985</v>
      </c>
      <c r="D390" s="19" t="s">
        <v>50</v>
      </c>
      <c r="E390" s="19" t="s">
        <v>484</v>
      </c>
      <c r="F390" s="20">
        <v>42957</v>
      </c>
      <c r="G390" s="11">
        <v>31</v>
      </c>
      <c r="H390" s="13">
        <f t="shared" si="167"/>
        <v>5000</v>
      </c>
      <c r="I390" s="13">
        <f t="shared" si="152"/>
        <v>0</v>
      </c>
      <c r="J390" s="13">
        <f t="shared" si="160"/>
        <v>250</v>
      </c>
      <c r="L390" s="13">
        <f t="shared" si="161"/>
        <v>800</v>
      </c>
      <c r="N390" s="13">
        <f t="shared" si="169"/>
        <v>4230</v>
      </c>
      <c r="O390" s="13">
        <v>0</v>
      </c>
      <c r="Q390" s="13">
        <f t="shared" si="165"/>
        <v>10280</v>
      </c>
      <c r="R390" s="12">
        <f t="shared" ref="R390:R453" si="170">(H390+I390)*12%</f>
        <v>600</v>
      </c>
      <c r="S390" s="12">
        <f t="shared" si="103"/>
        <v>180</v>
      </c>
      <c r="T390" s="21">
        <v>0</v>
      </c>
      <c r="U390" s="13">
        <v>0</v>
      </c>
      <c r="V390" s="13">
        <f t="shared" si="157"/>
        <v>780</v>
      </c>
      <c r="W390" s="13">
        <f t="shared" ref="W390:W453" si="171">Q390-V390</f>
        <v>9500</v>
      </c>
      <c r="Y390" s="13">
        <f t="shared" si="153"/>
        <v>9500</v>
      </c>
      <c r="Z390" s="12">
        <f t="shared" si="162"/>
        <v>657.5</v>
      </c>
      <c r="AA390" s="12">
        <f t="shared" ref="AA390:AA453" si="172">CEILING((Q390)*4.75%,1)</f>
        <v>489</v>
      </c>
      <c r="AB390" s="1">
        <f t="shared" si="154"/>
        <v>0</v>
      </c>
      <c r="AC390" s="16">
        <f t="shared" si="158"/>
        <v>1146.5</v>
      </c>
      <c r="AD390" s="16">
        <f t="shared" ref="AD390:AD453" si="173">Q390+AC390</f>
        <v>11426.5</v>
      </c>
    </row>
    <row r="391" spans="1:30" x14ac:dyDescent="0.2">
      <c r="A391" s="10" t="s">
        <v>1122</v>
      </c>
      <c r="B391" s="11" t="e">
        <f t="shared" si="155"/>
        <v>#REF!</v>
      </c>
      <c r="C391" s="11" t="s">
        <v>986</v>
      </c>
      <c r="D391" s="19" t="s">
        <v>50</v>
      </c>
      <c r="E391" s="19" t="s">
        <v>237</v>
      </c>
      <c r="F391" s="20">
        <v>42956</v>
      </c>
      <c r="G391" s="11">
        <v>37</v>
      </c>
      <c r="H391" s="13">
        <f t="shared" si="167"/>
        <v>5967.7419354838703</v>
      </c>
      <c r="I391" s="13">
        <f t="shared" ref="I391:I454" si="174">((0)/G$3)*G391</f>
        <v>0</v>
      </c>
      <c r="J391" s="13">
        <f t="shared" si="160"/>
        <v>298.38709677419354</v>
      </c>
      <c r="L391" s="13">
        <f t="shared" si="161"/>
        <v>954.83870967741927</v>
      </c>
      <c r="N391" s="13">
        <f t="shared" si="164"/>
        <v>6263.7419354838703</v>
      </c>
      <c r="O391" s="13">
        <v>0</v>
      </c>
      <c r="Q391" s="13">
        <f t="shared" si="165"/>
        <v>13484.709677419352</v>
      </c>
      <c r="R391" s="12">
        <f t="shared" si="170"/>
        <v>716.1290322580644</v>
      </c>
      <c r="S391" s="12">
        <f t="shared" si="103"/>
        <v>236</v>
      </c>
      <c r="T391" s="21">
        <v>0</v>
      </c>
      <c r="U391" s="13">
        <v>0</v>
      </c>
      <c r="V391" s="13">
        <f t="shared" si="157"/>
        <v>952.1290322580644</v>
      </c>
      <c r="W391" s="13">
        <f t="shared" si="171"/>
        <v>12532.580645161288</v>
      </c>
      <c r="Y391" s="13">
        <f t="shared" ref="Y391:Y454" si="175">W391-X391</f>
        <v>12532.580645161288</v>
      </c>
      <c r="Z391" s="12">
        <f t="shared" si="162"/>
        <v>784.75806451612902</v>
      </c>
      <c r="AA391" s="12">
        <f t="shared" si="172"/>
        <v>641</v>
      </c>
      <c r="AB391" s="1">
        <f t="shared" ref="AB391:AB454" si="176">U391*3</f>
        <v>0</v>
      </c>
      <c r="AC391" s="16">
        <f t="shared" si="158"/>
        <v>1425.758064516129</v>
      </c>
      <c r="AD391" s="16">
        <f t="shared" si="173"/>
        <v>14910.467741935481</v>
      </c>
    </row>
    <row r="392" spans="1:30" x14ac:dyDescent="0.2">
      <c r="A392" s="10" t="s">
        <v>1123</v>
      </c>
      <c r="B392" s="11" t="e">
        <f t="shared" ref="B392:B455" si="177">B391+1</f>
        <v>#REF!</v>
      </c>
      <c r="C392" s="11" t="s">
        <v>987</v>
      </c>
      <c r="D392" s="19" t="s">
        <v>50</v>
      </c>
      <c r="E392" s="19" t="s">
        <v>237</v>
      </c>
      <c r="F392" s="20">
        <v>42960</v>
      </c>
      <c r="G392" s="11">
        <v>30</v>
      </c>
      <c r="H392" s="13">
        <f t="shared" si="167"/>
        <v>4838.7096774193542</v>
      </c>
      <c r="I392" s="13">
        <f t="shared" si="174"/>
        <v>0</v>
      </c>
      <c r="J392" s="13">
        <f t="shared" si="160"/>
        <v>241.93548387096772</v>
      </c>
      <c r="L392" s="13">
        <f t="shared" si="161"/>
        <v>774.19354838709671</v>
      </c>
      <c r="N392" s="13">
        <f t="shared" si="164"/>
        <v>5078.7096774193542</v>
      </c>
      <c r="O392" s="13">
        <v>0</v>
      </c>
      <c r="Q392" s="13">
        <f t="shared" si="165"/>
        <v>10933.548387096773</v>
      </c>
      <c r="R392" s="12">
        <f t="shared" si="170"/>
        <v>580.64516129032245</v>
      </c>
      <c r="S392" s="12">
        <f t="shared" si="103"/>
        <v>192</v>
      </c>
      <c r="T392" s="21">
        <v>0</v>
      </c>
      <c r="U392" s="13">
        <v>0</v>
      </c>
      <c r="V392" s="13">
        <f t="shared" si="157"/>
        <v>772.64516129032245</v>
      </c>
      <c r="W392" s="13">
        <f t="shared" si="171"/>
        <v>10160.903225806451</v>
      </c>
      <c r="Y392" s="13">
        <f t="shared" si="175"/>
        <v>10160.903225806451</v>
      </c>
      <c r="Z392" s="12">
        <f t="shared" si="162"/>
        <v>636.29032258064512</v>
      </c>
      <c r="AA392" s="12">
        <f t="shared" si="172"/>
        <v>520</v>
      </c>
      <c r="AB392" s="1">
        <f t="shared" si="176"/>
        <v>0</v>
      </c>
      <c r="AC392" s="16">
        <f t="shared" si="158"/>
        <v>1156.2903225806451</v>
      </c>
      <c r="AD392" s="16">
        <f t="shared" si="173"/>
        <v>12089.838709677419</v>
      </c>
    </row>
    <row r="393" spans="1:30" x14ac:dyDescent="0.2">
      <c r="A393" s="10" t="s">
        <v>1124</v>
      </c>
      <c r="B393" s="11" t="e">
        <f t="shared" si="177"/>
        <v>#REF!</v>
      </c>
      <c r="C393" s="11" t="s">
        <v>988</v>
      </c>
      <c r="D393" s="19" t="s">
        <v>50</v>
      </c>
      <c r="E393" s="19" t="s">
        <v>241</v>
      </c>
      <c r="F393" s="20">
        <v>42942</v>
      </c>
      <c r="G393" s="11">
        <v>33</v>
      </c>
      <c r="H393" s="13">
        <f t="shared" si="167"/>
        <v>5322.5806451612898</v>
      </c>
      <c r="I393" s="13">
        <f t="shared" si="174"/>
        <v>0</v>
      </c>
      <c r="J393" s="13">
        <f t="shared" si="160"/>
        <v>266.12903225806451</v>
      </c>
      <c r="L393" s="13">
        <f t="shared" si="161"/>
        <v>851.61290322580635</v>
      </c>
      <c r="N393" s="13">
        <f t="shared" ref="N393:N394" si="178">((4230)/G$3)*G393</f>
        <v>4502.9032258064508</v>
      </c>
      <c r="O393" s="13">
        <v>0</v>
      </c>
      <c r="Q393" s="13">
        <f t="shared" si="165"/>
        <v>10943.225806451612</v>
      </c>
      <c r="R393" s="12">
        <f t="shared" si="170"/>
        <v>638.70967741935476</v>
      </c>
      <c r="S393" s="12">
        <f t="shared" si="103"/>
        <v>192</v>
      </c>
      <c r="T393" s="21">
        <v>0</v>
      </c>
      <c r="U393" s="13">
        <v>0</v>
      </c>
      <c r="V393" s="13">
        <f t="shared" si="157"/>
        <v>830.70967741935476</v>
      </c>
      <c r="W393" s="13">
        <f t="shared" si="171"/>
        <v>10112.516129032258</v>
      </c>
      <c r="Y393" s="13">
        <f t="shared" si="175"/>
        <v>10112.516129032258</v>
      </c>
      <c r="Z393" s="12">
        <f t="shared" si="162"/>
        <v>699.91935483870964</v>
      </c>
      <c r="AA393" s="12">
        <f t="shared" si="172"/>
        <v>520</v>
      </c>
      <c r="AB393" s="1">
        <f t="shared" si="176"/>
        <v>0</v>
      </c>
      <c r="AC393" s="16">
        <f t="shared" si="158"/>
        <v>1219.9193548387098</v>
      </c>
      <c r="AD393" s="16">
        <f t="shared" si="173"/>
        <v>12163.145161290322</v>
      </c>
    </row>
    <row r="394" spans="1:30" x14ac:dyDescent="0.2">
      <c r="A394" s="10" t="s">
        <v>1292</v>
      </c>
      <c r="B394" s="11" t="e">
        <f>#REF!+1</f>
        <v>#REF!</v>
      </c>
      <c r="C394" s="11" t="s">
        <v>1040</v>
      </c>
      <c r="D394" s="19" t="s">
        <v>50</v>
      </c>
      <c r="E394" s="19" t="s">
        <v>242</v>
      </c>
      <c r="F394" s="20">
        <v>42983</v>
      </c>
      <c r="G394" s="11">
        <v>37</v>
      </c>
      <c r="H394" s="13">
        <f t="shared" si="167"/>
        <v>5967.7419354838703</v>
      </c>
      <c r="I394" s="13">
        <f t="shared" si="174"/>
        <v>0</v>
      </c>
      <c r="J394" s="13">
        <f t="shared" si="160"/>
        <v>298.38709677419354</v>
      </c>
      <c r="L394" s="13">
        <f t="shared" si="161"/>
        <v>954.83870967741927</v>
      </c>
      <c r="N394" s="13">
        <f t="shared" si="178"/>
        <v>5048.7096774193542</v>
      </c>
      <c r="O394" s="13">
        <v>0</v>
      </c>
      <c r="Q394" s="13">
        <f t="shared" si="165"/>
        <v>12269.677419354837</v>
      </c>
      <c r="R394" s="12">
        <f t="shared" si="170"/>
        <v>716.1290322580644</v>
      </c>
      <c r="S394" s="12">
        <f t="shared" si="103"/>
        <v>215</v>
      </c>
      <c r="T394" s="21">
        <v>0</v>
      </c>
      <c r="U394" s="13">
        <v>0</v>
      </c>
      <c r="V394" s="13">
        <f t="shared" si="157"/>
        <v>931.1290322580644</v>
      </c>
      <c r="W394" s="13">
        <f t="shared" si="171"/>
        <v>11338.548387096773</v>
      </c>
      <c r="Y394" s="13">
        <f t="shared" si="175"/>
        <v>11338.548387096773</v>
      </c>
      <c r="Z394" s="12">
        <f t="shared" si="162"/>
        <v>784.75806451612902</v>
      </c>
      <c r="AA394" s="12">
        <f t="shared" si="172"/>
        <v>583</v>
      </c>
      <c r="AB394" s="1">
        <f t="shared" si="176"/>
        <v>0</v>
      </c>
      <c r="AC394" s="16">
        <f t="shared" ref="AC394:AC457" si="179">SUM(Z394:AB394)</f>
        <v>1367.758064516129</v>
      </c>
      <c r="AD394" s="16">
        <f t="shared" si="173"/>
        <v>13637.435483870966</v>
      </c>
    </row>
    <row r="395" spans="1:30" x14ac:dyDescent="0.2">
      <c r="A395" s="10" t="s">
        <v>1293</v>
      </c>
      <c r="B395" s="11" t="e">
        <f t="shared" si="177"/>
        <v>#REF!</v>
      </c>
      <c r="C395" s="11" t="s">
        <v>1041</v>
      </c>
      <c r="D395" s="19" t="s">
        <v>50</v>
      </c>
      <c r="E395" s="19" t="s">
        <v>238</v>
      </c>
      <c r="F395" s="20">
        <v>42998</v>
      </c>
      <c r="G395" s="11">
        <v>13</v>
      </c>
      <c r="H395" s="13">
        <f t="shared" si="167"/>
        <v>2096.7741935483868</v>
      </c>
      <c r="I395" s="13">
        <f t="shared" si="174"/>
        <v>0</v>
      </c>
      <c r="J395" s="13">
        <f t="shared" si="160"/>
        <v>104.83870967741935</v>
      </c>
      <c r="L395" s="13">
        <f t="shared" si="161"/>
        <v>335.48387096774189</v>
      </c>
      <c r="N395" s="13">
        <f t="shared" ref="N395:N448" si="180">((5248)/G$3)*G395</f>
        <v>2200.7741935483868</v>
      </c>
      <c r="O395" s="13">
        <v>0</v>
      </c>
      <c r="Q395" s="13">
        <f t="shared" si="165"/>
        <v>4737.8709677419356</v>
      </c>
      <c r="R395" s="12">
        <f t="shared" si="170"/>
        <v>251.61290322580641</v>
      </c>
      <c r="S395" s="12">
        <f t="shared" si="103"/>
        <v>83</v>
      </c>
      <c r="T395" s="21">
        <v>0</v>
      </c>
      <c r="U395" s="13">
        <v>0</v>
      </c>
      <c r="V395" s="13">
        <f t="shared" si="157"/>
        <v>334.61290322580641</v>
      </c>
      <c r="W395" s="13">
        <f t="shared" si="171"/>
        <v>4403.2580645161288</v>
      </c>
      <c r="Y395" s="13">
        <f t="shared" si="175"/>
        <v>4403.2580645161288</v>
      </c>
      <c r="Z395" s="12">
        <f t="shared" si="162"/>
        <v>275.72580645161287</v>
      </c>
      <c r="AA395" s="12">
        <f t="shared" si="172"/>
        <v>226</v>
      </c>
      <c r="AB395" s="1">
        <f t="shared" si="176"/>
        <v>0</v>
      </c>
      <c r="AC395" s="16">
        <f t="shared" si="179"/>
        <v>501.72580645161287</v>
      </c>
      <c r="AD395" s="16">
        <f t="shared" si="173"/>
        <v>5239.5967741935483</v>
      </c>
    </row>
    <row r="396" spans="1:30" x14ac:dyDescent="0.2">
      <c r="A396" s="10" t="s">
        <v>1294</v>
      </c>
      <c r="B396" s="11" t="e">
        <f t="shared" si="177"/>
        <v>#REF!</v>
      </c>
      <c r="C396" s="11" t="s">
        <v>1042</v>
      </c>
      <c r="D396" s="19" t="s">
        <v>50</v>
      </c>
      <c r="E396" s="19" t="s">
        <v>238</v>
      </c>
      <c r="F396" s="20">
        <v>43004</v>
      </c>
      <c r="G396" s="11">
        <v>35</v>
      </c>
      <c r="H396" s="13">
        <f t="shared" si="167"/>
        <v>5645.1612903225805</v>
      </c>
      <c r="I396" s="13">
        <f t="shared" si="174"/>
        <v>0</v>
      </c>
      <c r="J396" s="13">
        <f t="shared" si="160"/>
        <v>282.25806451612902</v>
      </c>
      <c r="L396" s="13">
        <f t="shared" si="161"/>
        <v>903.22580645161281</v>
      </c>
      <c r="N396" s="13">
        <f t="shared" si="180"/>
        <v>5925.1612903225805</v>
      </c>
      <c r="O396" s="13">
        <v>0</v>
      </c>
      <c r="Q396" s="13">
        <f t="shared" si="165"/>
        <v>12755.806451612902</v>
      </c>
      <c r="R396" s="12">
        <f t="shared" si="170"/>
        <v>677.41935483870964</v>
      </c>
      <c r="S396" s="12">
        <f t="shared" si="103"/>
        <v>224</v>
      </c>
      <c r="T396" s="21">
        <v>0</v>
      </c>
      <c r="U396" s="13">
        <v>0</v>
      </c>
      <c r="V396" s="13">
        <f t="shared" si="157"/>
        <v>901.41935483870964</v>
      </c>
      <c r="W396" s="13">
        <f t="shared" si="171"/>
        <v>11854.387096774191</v>
      </c>
      <c r="Y396" s="13">
        <f t="shared" si="175"/>
        <v>11854.387096774191</v>
      </c>
      <c r="Z396" s="12">
        <f t="shared" si="162"/>
        <v>742.33870967741939</v>
      </c>
      <c r="AA396" s="12">
        <f t="shared" si="172"/>
        <v>606</v>
      </c>
      <c r="AB396" s="1">
        <f t="shared" si="176"/>
        <v>0</v>
      </c>
      <c r="AC396" s="16">
        <f t="shared" si="179"/>
        <v>1348.3387096774195</v>
      </c>
      <c r="AD396" s="16">
        <f t="shared" si="173"/>
        <v>14104.145161290322</v>
      </c>
    </row>
    <row r="397" spans="1:30" x14ac:dyDescent="0.2">
      <c r="A397" s="10" t="s">
        <v>1295</v>
      </c>
      <c r="B397" s="11" t="e">
        <f t="shared" si="177"/>
        <v>#REF!</v>
      </c>
      <c r="C397" s="11" t="s">
        <v>1043</v>
      </c>
      <c r="D397" s="19" t="s">
        <v>50</v>
      </c>
      <c r="E397" s="19" t="s">
        <v>239</v>
      </c>
      <c r="F397" s="20">
        <v>42990</v>
      </c>
      <c r="G397" s="11">
        <v>37</v>
      </c>
      <c r="H397" s="13">
        <f t="shared" si="167"/>
        <v>5967.7419354838703</v>
      </c>
      <c r="I397" s="13">
        <f t="shared" si="174"/>
        <v>0</v>
      </c>
      <c r="J397" s="13">
        <f t="shared" si="160"/>
        <v>298.38709677419354</v>
      </c>
      <c r="L397" s="13">
        <f t="shared" si="161"/>
        <v>954.83870967741927</v>
      </c>
      <c r="N397" s="13">
        <f t="shared" ref="N397:N398" si="181">((4230)/G$3)*G397</f>
        <v>5048.7096774193542</v>
      </c>
      <c r="O397" s="13">
        <v>0</v>
      </c>
      <c r="Q397" s="13">
        <f t="shared" si="165"/>
        <v>12269.677419354837</v>
      </c>
      <c r="R397" s="12">
        <f t="shared" si="170"/>
        <v>716.1290322580644</v>
      </c>
      <c r="S397" s="12">
        <f t="shared" si="103"/>
        <v>215</v>
      </c>
      <c r="T397" s="21">
        <v>0</v>
      </c>
      <c r="U397" s="13">
        <v>0</v>
      </c>
      <c r="V397" s="13">
        <f t="shared" ref="V397:V460" si="182">SUM(R397:U397)</f>
        <v>931.1290322580644</v>
      </c>
      <c r="W397" s="13">
        <f t="shared" si="171"/>
        <v>11338.548387096773</v>
      </c>
      <c r="Y397" s="13">
        <f t="shared" si="175"/>
        <v>11338.548387096773</v>
      </c>
      <c r="Z397" s="12">
        <f t="shared" si="162"/>
        <v>784.75806451612902</v>
      </c>
      <c r="AA397" s="12">
        <f t="shared" si="172"/>
        <v>583</v>
      </c>
      <c r="AB397" s="1">
        <f t="shared" si="176"/>
        <v>0</v>
      </c>
      <c r="AC397" s="16">
        <f t="shared" si="179"/>
        <v>1367.758064516129</v>
      </c>
      <c r="AD397" s="16">
        <f t="shared" si="173"/>
        <v>13637.435483870966</v>
      </c>
    </row>
    <row r="398" spans="1:30" x14ac:dyDescent="0.2">
      <c r="A398" s="10" t="s">
        <v>1296</v>
      </c>
      <c r="B398" s="11" t="e">
        <f t="shared" si="177"/>
        <v>#REF!</v>
      </c>
      <c r="C398" s="11" t="s">
        <v>1044</v>
      </c>
      <c r="D398" s="19" t="s">
        <v>50</v>
      </c>
      <c r="E398" s="19" t="s">
        <v>239</v>
      </c>
      <c r="F398" s="20">
        <v>42972</v>
      </c>
      <c r="G398" s="11">
        <v>34</v>
      </c>
      <c r="H398" s="13">
        <f t="shared" si="167"/>
        <v>5483.8709677419356</v>
      </c>
      <c r="I398" s="13">
        <f t="shared" si="174"/>
        <v>0</v>
      </c>
      <c r="J398" s="13">
        <f t="shared" si="160"/>
        <v>274.19354838709677</v>
      </c>
      <c r="L398" s="13">
        <f t="shared" si="161"/>
        <v>877.41935483870964</v>
      </c>
      <c r="N398" s="13">
        <f t="shared" si="181"/>
        <v>4639.3548387096771</v>
      </c>
      <c r="O398" s="13">
        <v>0</v>
      </c>
      <c r="Q398" s="13">
        <f t="shared" si="165"/>
        <v>11274.838709677419</v>
      </c>
      <c r="R398" s="12">
        <f t="shared" si="170"/>
        <v>658.0645161290322</v>
      </c>
      <c r="S398" s="12">
        <f t="shared" ref="S398:S461" si="183">ROUNDUP((Q398*1.75%),0)</f>
        <v>198</v>
      </c>
      <c r="T398" s="21">
        <v>0</v>
      </c>
      <c r="U398" s="13">
        <v>0</v>
      </c>
      <c r="V398" s="13">
        <f t="shared" si="182"/>
        <v>856.0645161290322</v>
      </c>
      <c r="W398" s="13">
        <f t="shared" si="171"/>
        <v>10418.774193548386</v>
      </c>
      <c r="Y398" s="13">
        <f t="shared" si="175"/>
        <v>10418.774193548386</v>
      </c>
      <c r="Z398" s="12">
        <f t="shared" si="162"/>
        <v>721.12903225806451</v>
      </c>
      <c r="AA398" s="12">
        <f t="shared" si="172"/>
        <v>536</v>
      </c>
      <c r="AB398" s="1">
        <f t="shared" si="176"/>
        <v>0</v>
      </c>
      <c r="AC398" s="16">
        <f t="shared" si="179"/>
        <v>1257.1290322580644</v>
      </c>
      <c r="AD398" s="16">
        <f t="shared" si="173"/>
        <v>12531.967741935483</v>
      </c>
    </row>
    <row r="399" spans="1:30" x14ac:dyDescent="0.2">
      <c r="A399" s="10" t="s">
        <v>1297</v>
      </c>
      <c r="B399" s="11" t="e">
        <f t="shared" si="177"/>
        <v>#REF!</v>
      </c>
      <c r="C399" s="11" t="s">
        <v>1045</v>
      </c>
      <c r="D399" s="19" t="s">
        <v>50</v>
      </c>
      <c r="E399" s="19" t="s">
        <v>581</v>
      </c>
      <c r="F399" s="20">
        <v>42979</v>
      </c>
      <c r="G399" s="11">
        <v>34.5</v>
      </c>
      <c r="H399" s="13">
        <f t="shared" si="167"/>
        <v>5564.5161290322576</v>
      </c>
      <c r="I399" s="13">
        <f t="shared" si="174"/>
        <v>0</v>
      </c>
      <c r="J399" s="13">
        <f t="shared" si="160"/>
        <v>278.22580645161287</v>
      </c>
      <c r="L399" s="13">
        <f t="shared" si="161"/>
        <v>890.32258064516122</v>
      </c>
      <c r="N399" s="13">
        <f>((4230)/G$3)*G399</f>
        <v>4707.5806451612898</v>
      </c>
      <c r="O399" s="13">
        <v>0</v>
      </c>
      <c r="Q399" s="13">
        <f t="shared" si="165"/>
        <v>11440.645161290322</v>
      </c>
      <c r="R399" s="12">
        <f t="shared" si="170"/>
        <v>667.74193548387086</v>
      </c>
      <c r="S399" s="12">
        <f t="shared" si="183"/>
        <v>201</v>
      </c>
      <c r="T399" s="21">
        <v>0</v>
      </c>
      <c r="U399" s="13">
        <v>0</v>
      </c>
      <c r="V399" s="13">
        <f t="shared" si="182"/>
        <v>868.74193548387086</v>
      </c>
      <c r="W399" s="13">
        <f t="shared" si="171"/>
        <v>10571.903225806451</v>
      </c>
      <c r="Y399" s="13">
        <f t="shared" si="175"/>
        <v>10571.903225806451</v>
      </c>
      <c r="Z399" s="12">
        <f t="shared" si="162"/>
        <v>731.73387096774195</v>
      </c>
      <c r="AA399" s="12">
        <f t="shared" si="172"/>
        <v>544</v>
      </c>
      <c r="AB399" s="1">
        <f t="shared" si="176"/>
        <v>0</v>
      </c>
      <c r="AC399" s="16">
        <f t="shared" si="179"/>
        <v>1275.733870967742</v>
      </c>
      <c r="AD399" s="16">
        <f t="shared" si="173"/>
        <v>12716.379032258064</v>
      </c>
    </row>
    <row r="400" spans="1:30" x14ac:dyDescent="0.2">
      <c r="A400" s="56" t="s">
        <v>1168</v>
      </c>
      <c r="B400" s="11" t="e">
        <f t="shared" si="177"/>
        <v>#REF!</v>
      </c>
      <c r="C400" s="57" t="s">
        <v>949</v>
      </c>
      <c r="D400" s="19" t="s">
        <v>50</v>
      </c>
      <c r="E400" s="19" t="s">
        <v>581</v>
      </c>
      <c r="F400" s="20">
        <v>42977</v>
      </c>
      <c r="G400" s="11">
        <v>28</v>
      </c>
      <c r="H400" s="13">
        <f t="shared" si="167"/>
        <v>4516.1290322580644</v>
      </c>
      <c r="I400" s="13">
        <f t="shared" si="174"/>
        <v>0</v>
      </c>
      <c r="J400" s="13">
        <f t="shared" si="160"/>
        <v>225.80645161290323</v>
      </c>
      <c r="L400" s="13">
        <f t="shared" si="161"/>
        <v>722.58064516129025</v>
      </c>
      <c r="N400" s="13">
        <f>((8811)/G$3)*G400</f>
        <v>7958.3225806451619</v>
      </c>
      <c r="O400" s="13">
        <v>4581</v>
      </c>
      <c r="Q400" s="13">
        <f t="shared" si="165"/>
        <v>18003.83870967742</v>
      </c>
      <c r="R400" s="12">
        <f t="shared" si="170"/>
        <v>541.93548387096769</v>
      </c>
      <c r="S400" s="12">
        <f t="shared" si="183"/>
        <v>316</v>
      </c>
      <c r="T400" s="21">
        <v>0</v>
      </c>
      <c r="U400" s="13">
        <v>0</v>
      </c>
      <c r="V400" s="13">
        <f t="shared" si="182"/>
        <v>857.93548387096769</v>
      </c>
      <c r="W400" s="13">
        <f t="shared" si="171"/>
        <v>17145.903225806454</v>
      </c>
      <c r="X400" s="13">
        <v>4500</v>
      </c>
      <c r="Y400" s="13">
        <f t="shared" si="175"/>
        <v>12645.903225806454</v>
      </c>
      <c r="Z400" s="12">
        <f t="shared" si="162"/>
        <v>593.87096774193549</v>
      </c>
      <c r="AA400" s="12">
        <f t="shared" si="172"/>
        <v>856</v>
      </c>
      <c r="AB400" s="1">
        <f t="shared" si="176"/>
        <v>0</v>
      </c>
      <c r="AC400" s="16">
        <f t="shared" si="179"/>
        <v>1449.8709677419356</v>
      </c>
      <c r="AD400" s="16">
        <f t="shared" si="173"/>
        <v>19453.709677419356</v>
      </c>
    </row>
    <row r="401" spans="1:30" x14ac:dyDescent="0.2">
      <c r="A401" s="10" t="s">
        <v>1298</v>
      </c>
      <c r="B401" s="11" t="e">
        <f t="shared" si="177"/>
        <v>#REF!</v>
      </c>
      <c r="C401" s="11" t="s">
        <v>403</v>
      </c>
      <c r="D401" s="19" t="s">
        <v>50</v>
      </c>
      <c r="E401" s="19" t="s">
        <v>581</v>
      </c>
      <c r="F401" s="20">
        <v>42992</v>
      </c>
      <c r="G401" s="11">
        <v>32</v>
      </c>
      <c r="H401" s="13">
        <f t="shared" si="167"/>
        <v>5161.2903225806449</v>
      </c>
      <c r="I401" s="13">
        <f t="shared" si="174"/>
        <v>0</v>
      </c>
      <c r="J401" s="13">
        <f t="shared" si="160"/>
        <v>258.06451612903226</v>
      </c>
      <c r="L401" s="13">
        <f t="shared" si="161"/>
        <v>825.80645161290317</v>
      </c>
      <c r="N401" s="13">
        <f>((5248+1527)/G$3)*G401</f>
        <v>6993.5483870967746</v>
      </c>
      <c r="O401" s="13">
        <v>0</v>
      </c>
      <c r="Q401" s="13">
        <f t="shared" si="165"/>
        <v>13238.709677419356</v>
      </c>
      <c r="R401" s="12">
        <f t="shared" si="170"/>
        <v>619.35483870967732</v>
      </c>
      <c r="S401" s="12">
        <f t="shared" si="183"/>
        <v>232</v>
      </c>
      <c r="T401" s="21">
        <v>0</v>
      </c>
      <c r="U401" s="13">
        <v>0</v>
      </c>
      <c r="V401" s="13">
        <f t="shared" si="182"/>
        <v>851.35483870967732</v>
      </c>
      <c r="W401" s="13">
        <f t="shared" si="171"/>
        <v>12387.354838709678</v>
      </c>
      <c r="Y401" s="13">
        <f t="shared" si="175"/>
        <v>12387.354838709678</v>
      </c>
      <c r="Z401" s="12">
        <f t="shared" si="162"/>
        <v>678.70967741935488</v>
      </c>
      <c r="AA401" s="12">
        <f t="shared" si="172"/>
        <v>629</v>
      </c>
      <c r="AB401" s="1">
        <f t="shared" si="176"/>
        <v>0</v>
      </c>
      <c r="AC401" s="16">
        <f t="shared" si="179"/>
        <v>1307.7096774193549</v>
      </c>
      <c r="AD401" s="16">
        <f t="shared" si="173"/>
        <v>14546.41935483871</v>
      </c>
    </row>
    <row r="402" spans="1:30" x14ac:dyDescent="0.2">
      <c r="A402" s="10" t="s">
        <v>1299</v>
      </c>
      <c r="B402" s="11" t="e">
        <f t="shared" si="177"/>
        <v>#REF!</v>
      </c>
      <c r="C402" s="11" t="s">
        <v>1046</v>
      </c>
      <c r="D402" s="19" t="s">
        <v>50</v>
      </c>
      <c r="E402" s="19" t="s">
        <v>581</v>
      </c>
      <c r="F402" s="20">
        <v>42986</v>
      </c>
      <c r="G402" s="11">
        <v>32</v>
      </c>
      <c r="H402" s="13">
        <f t="shared" si="167"/>
        <v>5161.2903225806449</v>
      </c>
      <c r="I402" s="13">
        <f t="shared" si="174"/>
        <v>0</v>
      </c>
      <c r="J402" s="13">
        <f t="shared" si="160"/>
        <v>258.06451612903226</v>
      </c>
      <c r="L402" s="13">
        <f t="shared" si="161"/>
        <v>825.80645161290317</v>
      </c>
      <c r="N402" s="13">
        <f>((5248+509)/G$3)*G402</f>
        <v>5942.7096774193551</v>
      </c>
      <c r="O402" s="13">
        <v>0</v>
      </c>
      <c r="Q402" s="13">
        <f t="shared" si="165"/>
        <v>12187.870967741936</v>
      </c>
      <c r="R402" s="12">
        <f t="shared" si="170"/>
        <v>619.35483870967732</v>
      </c>
      <c r="S402" s="12">
        <f t="shared" si="183"/>
        <v>214</v>
      </c>
      <c r="T402" s="21">
        <v>0</v>
      </c>
      <c r="U402" s="13">
        <v>0</v>
      </c>
      <c r="V402" s="13">
        <f t="shared" si="182"/>
        <v>833.35483870967732</v>
      </c>
      <c r="W402" s="13">
        <f t="shared" si="171"/>
        <v>11354.516129032258</v>
      </c>
      <c r="Y402" s="13">
        <f t="shared" si="175"/>
        <v>11354.516129032258</v>
      </c>
      <c r="Z402" s="12">
        <f t="shared" si="162"/>
        <v>678.70967741935488</v>
      </c>
      <c r="AA402" s="12">
        <f t="shared" si="172"/>
        <v>579</v>
      </c>
      <c r="AB402" s="1">
        <f t="shared" si="176"/>
        <v>0</v>
      </c>
      <c r="AC402" s="16">
        <f t="shared" si="179"/>
        <v>1257.7096774193549</v>
      </c>
      <c r="AD402" s="16">
        <f t="shared" si="173"/>
        <v>13445.58064516129</v>
      </c>
    </row>
    <row r="403" spans="1:30" x14ac:dyDescent="0.2">
      <c r="A403" s="10" t="s">
        <v>1300</v>
      </c>
      <c r="B403" s="11" t="e">
        <f t="shared" si="177"/>
        <v>#REF!</v>
      </c>
      <c r="C403" s="11" t="s">
        <v>1047</v>
      </c>
      <c r="D403" s="19" t="s">
        <v>50</v>
      </c>
      <c r="E403" s="19" t="s">
        <v>241</v>
      </c>
      <c r="F403" s="20">
        <v>42983</v>
      </c>
      <c r="G403" s="11">
        <v>14</v>
      </c>
      <c r="H403" s="13">
        <f t="shared" si="167"/>
        <v>2258.0645161290322</v>
      </c>
      <c r="I403" s="13">
        <f t="shared" si="174"/>
        <v>0</v>
      </c>
      <c r="J403" s="13">
        <f t="shared" ref="J403:J466" si="184">(H403+I403)*5%</f>
        <v>112.90322580645162</v>
      </c>
      <c r="L403" s="13">
        <f t="shared" si="161"/>
        <v>361.29032258064512</v>
      </c>
      <c r="N403" s="13">
        <f t="shared" ref="N403:N404" si="185">((4230)/G$3)*G403</f>
        <v>1910.322580645161</v>
      </c>
      <c r="O403" s="13">
        <v>0</v>
      </c>
      <c r="Q403" s="13">
        <f t="shared" si="165"/>
        <v>4642.5806451612898</v>
      </c>
      <c r="R403" s="12">
        <f t="shared" si="170"/>
        <v>270.96774193548384</v>
      </c>
      <c r="S403" s="12">
        <f t="shared" si="183"/>
        <v>82</v>
      </c>
      <c r="T403" s="21">
        <v>0</v>
      </c>
      <c r="U403" s="13">
        <v>0</v>
      </c>
      <c r="V403" s="13">
        <f t="shared" si="182"/>
        <v>352.96774193548384</v>
      </c>
      <c r="W403" s="13">
        <f t="shared" si="171"/>
        <v>4289.6129032258059</v>
      </c>
      <c r="Y403" s="13">
        <f t="shared" si="175"/>
        <v>4289.6129032258059</v>
      </c>
      <c r="Z403" s="12">
        <f t="shared" si="162"/>
        <v>296.93548387096774</v>
      </c>
      <c r="AA403" s="12">
        <f t="shared" si="172"/>
        <v>221</v>
      </c>
      <c r="AB403" s="1">
        <f t="shared" si="176"/>
        <v>0</v>
      </c>
      <c r="AC403" s="16">
        <f t="shared" si="179"/>
        <v>517.9354838709678</v>
      </c>
      <c r="AD403" s="16">
        <f t="shared" si="173"/>
        <v>5160.5161290322576</v>
      </c>
    </row>
    <row r="404" spans="1:30" x14ac:dyDescent="0.2">
      <c r="A404" s="10" t="s">
        <v>1301</v>
      </c>
      <c r="B404" s="11" t="e">
        <f t="shared" si="177"/>
        <v>#REF!</v>
      </c>
      <c r="C404" s="11" t="s">
        <v>1048</v>
      </c>
      <c r="D404" s="19" t="s">
        <v>50</v>
      </c>
      <c r="E404" s="19" t="s">
        <v>241</v>
      </c>
      <c r="F404" s="20">
        <v>42992</v>
      </c>
      <c r="G404" s="11">
        <v>35</v>
      </c>
      <c r="H404" s="13">
        <f t="shared" si="167"/>
        <v>5645.1612903225805</v>
      </c>
      <c r="I404" s="13">
        <f t="shared" si="174"/>
        <v>0</v>
      </c>
      <c r="J404" s="13">
        <f t="shared" si="184"/>
        <v>282.25806451612902</v>
      </c>
      <c r="L404" s="13">
        <f t="shared" si="161"/>
        <v>903.22580645161281</v>
      </c>
      <c r="N404" s="13">
        <f t="shared" si="185"/>
        <v>4775.8064516129025</v>
      </c>
      <c r="O404" s="13">
        <v>0</v>
      </c>
      <c r="Q404" s="13">
        <f t="shared" si="165"/>
        <v>11606.451612903224</v>
      </c>
      <c r="R404" s="12">
        <f t="shared" si="170"/>
        <v>677.41935483870964</v>
      </c>
      <c r="S404" s="12">
        <f t="shared" si="183"/>
        <v>204</v>
      </c>
      <c r="T404" s="21">
        <v>0</v>
      </c>
      <c r="U404" s="13">
        <v>0</v>
      </c>
      <c r="V404" s="13">
        <f t="shared" si="182"/>
        <v>881.41935483870964</v>
      </c>
      <c r="W404" s="13">
        <f t="shared" si="171"/>
        <v>10725.032258064513</v>
      </c>
      <c r="Y404" s="13">
        <f t="shared" si="175"/>
        <v>10725.032258064513</v>
      </c>
      <c r="Z404" s="12">
        <f t="shared" si="162"/>
        <v>742.33870967741939</v>
      </c>
      <c r="AA404" s="12">
        <f t="shared" si="172"/>
        <v>552</v>
      </c>
      <c r="AB404" s="1">
        <f t="shared" si="176"/>
        <v>0</v>
      </c>
      <c r="AC404" s="16">
        <f t="shared" si="179"/>
        <v>1294.3387096774195</v>
      </c>
      <c r="AD404" s="16">
        <f t="shared" si="173"/>
        <v>12900.790322580644</v>
      </c>
    </row>
    <row r="405" spans="1:30" x14ac:dyDescent="0.2">
      <c r="A405" s="10" t="s">
        <v>1302</v>
      </c>
      <c r="B405" s="11" t="e">
        <f t="shared" si="177"/>
        <v>#REF!</v>
      </c>
      <c r="C405" s="11" t="s">
        <v>1049</v>
      </c>
      <c r="D405" s="19" t="s">
        <v>50</v>
      </c>
      <c r="E405" s="19" t="s">
        <v>1039</v>
      </c>
      <c r="F405" s="20">
        <v>43003</v>
      </c>
      <c r="G405" s="11">
        <v>34</v>
      </c>
      <c r="H405" s="13">
        <f t="shared" si="167"/>
        <v>5483.8709677419356</v>
      </c>
      <c r="I405" s="13">
        <f t="shared" si="174"/>
        <v>0</v>
      </c>
      <c r="J405" s="13">
        <f t="shared" si="184"/>
        <v>274.19354838709677</v>
      </c>
      <c r="L405" s="13">
        <f t="shared" ref="L405:L458" si="186">((800)/G$3)*G405</f>
        <v>877.41935483870964</v>
      </c>
      <c r="N405" s="13">
        <f>((16550)/G$3)*G405</f>
        <v>18151.612903225807</v>
      </c>
      <c r="O405" s="13">
        <v>0</v>
      </c>
      <c r="Q405" s="13">
        <f t="shared" si="165"/>
        <v>24787.096774193549</v>
      </c>
      <c r="R405" s="12">
        <f t="shared" si="170"/>
        <v>658.0645161290322</v>
      </c>
      <c r="S405" s="12">
        <v>0</v>
      </c>
      <c r="T405" s="21">
        <v>0</v>
      </c>
      <c r="U405" s="13">
        <v>0</v>
      </c>
      <c r="V405" s="13">
        <f t="shared" si="182"/>
        <v>658.0645161290322</v>
      </c>
      <c r="W405" s="13">
        <f t="shared" si="171"/>
        <v>24129.032258064515</v>
      </c>
      <c r="Y405" s="13">
        <f t="shared" si="175"/>
        <v>24129.032258064515</v>
      </c>
      <c r="Z405" s="12">
        <f t="shared" si="162"/>
        <v>721.12903225806451</v>
      </c>
      <c r="AA405" s="12">
        <v>0</v>
      </c>
      <c r="AB405" s="1">
        <f t="shared" si="176"/>
        <v>0</v>
      </c>
      <c r="AC405" s="16">
        <f t="shared" si="179"/>
        <v>721.12903225806451</v>
      </c>
      <c r="AD405" s="16">
        <f t="shared" si="173"/>
        <v>25508.225806451614</v>
      </c>
    </row>
    <row r="406" spans="1:30" x14ac:dyDescent="0.2">
      <c r="A406" s="10" t="s">
        <v>1303</v>
      </c>
      <c r="B406" s="11" t="e">
        <f t="shared" si="177"/>
        <v>#REF!</v>
      </c>
      <c r="C406" s="11" t="s">
        <v>1050</v>
      </c>
      <c r="D406" s="19" t="s">
        <v>50</v>
      </c>
      <c r="E406" s="19" t="s">
        <v>484</v>
      </c>
      <c r="F406" s="20">
        <v>42998</v>
      </c>
      <c r="G406" s="11">
        <v>37</v>
      </c>
      <c r="H406" s="13">
        <f t="shared" si="167"/>
        <v>5967.7419354838703</v>
      </c>
      <c r="I406" s="13">
        <f t="shared" si="174"/>
        <v>0</v>
      </c>
      <c r="J406" s="13">
        <f t="shared" si="184"/>
        <v>298.38709677419354</v>
      </c>
      <c r="L406" s="13">
        <f t="shared" si="186"/>
        <v>954.83870967741927</v>
      </c>
      <c r="N406" s="13">
        <f>((4230)/G$3)*G406</f>
        <v>5048.7096774193542</v>
      </c>
      <c r="O406" s="13">
        <v>0</v>
      </c>
      <c r="Q406" s="13">
        <f t="shared" si="165"/>
        <v>12269.677419354837</v>
      </c>
      <c r="R406" s="12">
        <f t="shared" si="170"/>
        <v>716.1290322580644</v>
      </c>
      <c r="S406" s="12">
        <f t="shared" si="183"/>
        <v>215</v>
      </c>
      <c r="T406" s="21">
        <v>0</v>
      </c>
      <c r="U406" s="13">
        <v>0</v>
      </c>
      <c r="V406" s="13">
        <f t="shared" si="182"/>
        <v>931.1290322580644</v>
      </c>
      <c r="W406" s="13">
        <f t="shared" si="171"/>
        <v>11338.548387096773</v>
      </c>
      <c r="Y406" s="13">
        <f t="shared" si="175"/>
        <v>11338.548387096773</v>
      </c>
      <c r="Z406" s="12">
        <f t="shared" si="162"/>
        <v>784.75806451612902</v>
      </c>
      <c r="AA406" s="12">
        <f t="shared" si="172"/>
        <v>583</v>
      </c>
      <c r="AB406" s="1">
        <f t="shared" si="176"/>
        <v>0</v>
      </c>
      <c r="AC406" s="16">
        <f t="shared" si="179"/>
        <v>1367.758064516129</v>
      </c>
      <c r="AD406" s="16">
        <f t="shared" si="173"/>
        <v>13637.435483870966</v>
      </c>
    </row>
    <row r="407" spans="1:30" x14ac:dyDescent="0.2">
      <c r="A407" s="10" t="s">
        <v>1304</v>
      </c>
      <c r="B407" s="11" t="e">
        <f t="shared" si="177"/>
        <v>#REF!</v>
      </c>
      <c r="C407" s="11" t="s">
        <v>1051</v>
      </c>
      <c r="D407" s="19" t="s">
        <v>50</v>
      </c>
      <c r="E407" s="19" t="s">
        <v>484</v>
      </c>
      <c r="F407" s="20">
        <v>42997</v>
      </c>
      <c r="G407" s="11">
        <v>37</v>
      </c>
      <c r="H407" s="13">
        <f t="shared" si="167"/>
        <v>5967.7419354838703</v>
      </c>
      <c r="I407" s="13">
        <f t="shared" si="174"/>
        <v>0</v>
      </c>
      <c r="J407" s="13">
        <f t="shared" si="184"/>
        <v>298.38709677419354</v>
      </c>
      <c r="L407" s="13">
        <f t="shared" si="186"/>
        <v>954.83870967741927</v>
      </c>
      <c r="N407" s="13">
        <f t="shared" ref="N407:N414" si="187">((4230)/G$3)*G407</f>
        <v>5048.7096774193542</v>
      </c>
      <c r="O407" s="13">
        <v>0</v>
      </c>
      <c r="Q407" s="13">
        <f t="shared" si="165"/>
        <v>12269.677419354837</v>
      </c>
      <c r="R407" s="12">
        <f t="shared" si="170"/>
        <v>716.1290322580644</v>
      </c>
      <c r="S407" s="12">
        <f t="shared" si="183"/>
        <v>215</v>
      </c>
      <c r="T407" s="21">
        <v>0</v>
      </c>
      <c r="U407" s="13">
        <v>0</v>
      </c>
      <c r="V407" s="13">
        <f t="shared" si="182"/>
        <v>931.1290322580644</v>
      </c>
      <c r="W407" s="13">
        <f t="shared" si="171"/>
        <v>11338.548387096773</v>
      </c>
      <c r="Y407" s="13">
        <f t="shared" si="175"/>
        <v>11338.548387096773</v>
      </c>
      <c r="Z407" s="12">
        <f t="shared" si="162"/>
        <v>784.75806451612902</v>
      </c>
      <c r="AA407" s="12">
        <f t="shared" si="172"/>
        <v>583</v>
      </c>
      <c r="AB407" s="1">
        <f t="shared" si="176"/>
        <v>0</v>
      </c>
      <c r="AC407" s="16">
        <f t="shared" si="179"/>
        <v>1367.758064516129</v>
      </c>
      <c r="AD407" s="16">
        <f t="shared" si="173"/>
        <v>13637.435483870966</v>
      </c>
    </row>
    <row r="408" spans="1:30" x14ac:dyDescent="0.2">
      <c r="A408" s="10" t="s">
        <v>1305</v>
      </c>
      <c r="B408" s="11" t="e">
        <f t="shared" si="177"/>
        <v>#REF!</v>
      </c>
      <c r="C408" s="11" t="s">
        <v>537</v>
      </c>
      <c r="D408" s="19" t="s">
        <v>50</v>
      </c>
      <c r="E408" s="19" t="s">
        <v>484</v>
      </c>
      <c r="F408" s="20">
        <v>42997</v>
      </c>
      <c r="G408" s="11">
        <v>36</v>
      </c>
      <c r="H408" s="13">
        <f t="shared" si="167"/>
        <v>5806.4516129032254</v>
      </c>
      <c r="I408" s="13">
        <f t="shared" si="174"/>
        <v>0</v>
      </c>
      <c r="J408" s="13">
        <f t="shared" si="184"/>
        <v>290.32258064516128</v>
      </c>
      <c r="L408" s="13">
        <f t="shared" si="186"/>
        <v>929.0322580645161</v>
      </c>
      <c r="N408" s="13">
        <f t="shared" si="187"/>
        <v>4912.2580645161288</v>
      </c>
      <c r="O408" s="13">
        <v>0</v>
      </c>
      <c r="Q408" s="13">
        <f t="shared" si="165"/>
        <v>11938.06451612903</v>
      </c>
      <c r="R408" s="12">
        <f t="shared" si="170"/>
        <v>696.77419354838707</v>
      </c>
      <c r="S408" s="12">
        <f t="shared" si="183"/>
        <v>209</v>
      </c>
      <c r="T408" s="21">
        <v>0</v>
      </c>
      <c r="U408" s="13">
        <v>0</v>
      </c>
      <c r="V408" s="13">
        <f t="shared" si="182"/>
        <v>905.77419354838707</v>
      </c>
      <c r="W408" s="13">
        <f t="shared" si="171"/>
        <v>11032.290322580644</v>
      </c>
      <c r="Y408" s="13">
        <f t="shared" si="175"/>
        <v>11032.290322580644</v>
      </c>
      <c r="Z408" s="12">
        <f t="shared" si="162"/>
        <v>763.54838709677415</v>
      </c>
      <c r="AA408" s="12">
        <f t="shared" si="172"/>
        <v>568</v>
      </c>
      <c r="AB408" s="1">
        <f t="shared" si="176"/>
        <v>0</v>
      </c>
      <c r="AC408" s="16">
        <f t="shared" si="179"/>
        <v>1331.5483870967741</v>
      </c>
      <c r="AD408" s="16">
        <f t="shared" si="173"/>
        <v>13269.612903225805</v>
      </c>
    </row>
    <row r="409" spans="1:30" x14ac:dyDescent="0.2">
      <c r="A409" s="10" t="s">
        <v>1306</v>
      </c>
      <c r="B409" s="11" t="e">
        <f t="shared" si="177"/>
        <v>#REF!</v>
      </c>
      <c r="C409" s="11" t="s">
        <v>1052</v>
      </c>
      <c r="D409" s="19" t="s">
        <v>50</v>
      </c>
      <c r="E409" s="19" t="s">
        <v>484</v>
      </c>
      <c r="F409" s="20">
        <v>42997</v>
      </c>
      <c r="G409" s="11">
        <v>28</v>
      </c>
      <c r="H409" s="13">
        <f t="shared" si="167"/>
        <v>4516.1290322580644</v>
      </c>
      <c r="I409" s="13">
        <f t="shared" si="174"/>
        <v>0</v>
      </c>
      <c r="J409" s="13">
        <f t="shared" si="184"/>
        <v>225.80645161290323</v>
      </c>
      <c r="L409" s="13">
        <f t="shared" si="186"/>
        <v>722.58064516129025</v>
      </c>
      <c r="N409" s="13">
        <f t="shared" si="187"/>
        <v>3820.645161290322</v>
      </c>
      <c r="O409" s="13">
        <v>0</v>
      </c>
      <c r="Q409" s="13">
        <f t="shared" si="165"/>
        <v>9285.1612903225796</v>
      </c>
      <c r="R409" s="12">
        <f t="shared" si="170"/>
        <v>541.93548387096769</v>
      </c>
      <c r="S409" s="12">
        <f t="shared" si="183"/>
        <v>163</v>
      </c>
      <c r="T409" s="21">
        <v>0</v>
      </c>
      <c r="U409" s="13">
        <v>0</v>
      </c>
      <c r="V409" s="13">
        <f t="shared" si="182"/>
        <v>704.93548387096769</v>
      </c>
      <c r="W409" s="13">
        <f t="shared" si="171"/>
        <v>8580.2258064516118</v>
      </c>
      <c r="Y409" s="13">
        <f t="shared" si="175"/>
        <v>8580.2258064516118</v>
      </c>
      <c r="Z409" s="12">
        <f t="shared" si="162"/>
        <v>593.87096774193549</v>
      </c>
      <c r="AA409" s="12">
        <f t="shared" si="172"/>
        <v>442</v>
      </c>
      <c r="AB409" s="1">
        <f t="shared" si="176"/>
        <v>0</v>
      </c>
      <c r="AC409" s="16">
        <f t="shared" si="179"/>
        <v>1035.8709677419356</v>
      </c>
      <c r="AD409" s="16">
        <f t="shared" si="173"/>
        <v>10321.032258064515</v>
      </c>
    </row>
    <row r="410" spans="1:30" x14ac:dyDescent="0.2">
      <c r="A410" s="10" t="s">
        <v>1307</v>
      </c>
      <c r="B410" s="11" t="e">
        <f t="shared" si="177"/>
        <v>#REF!</v>
      </c>
      <c r="C410" s="11" t="s">
        <v>1053</v>
      </c>
      <c r="D410" s="19" t="s">
        <v>50</v>
      </c>
      <c r="E410" s="19" t="s">
        <v>484</v>
      </c>
      <c r="F410" s="20">
        <v>42997</v>
      </c>
      <c r="G410" s="11">
        <v>30</v>
      </c>
      <c r="H410" s="13">
        <f t="shared" si="167"/>
        <v>4838.7096774193542</v>
      </c>
      <c r="I410" s="13">
        <f t="shared" si="174"/>
        <v>0</v>
      </c>
      <c r="J410" s="13">
        <f t="shared" si="184"/>
        <v>241.93548387096772</v>
      </c>
      <c r="L410" s="13">
        <f t="shared" si="186"/>
        <v>774.19354838709671</v>
      </c>
      <c r="N410" s="13">
        <f t="shared" si="187"/>
        <v>4093.5483870967737</v>
      </c>
      <c r="O410" s="13">
        <v>0</v>
      </c>
      <c r="Q410" s="13">
        <f t="shared" si="165"/>
        <v>9948.3870967741932</v>
      </c>
      <c r="R410" s="12">
        <f t="shared" si="170"/>
        <v>580.64516129032245</v>
      </c>
      <c r="S410" s="12">
        <f t="shared" si="183"/>
        <v>175</v>
      </c>
      <c r="T410" s="21">
        <v>0</v>
      </c>
      <c r="U410" s="13">
        <v>0</v>
      </c>
      <c r="V410" s="13">
        <f t="shared" si="182"/>
        <v>755.64516129032245</v>
      </c>
      <c r="W410" s="13">
        <f t="shared" si="171"/>
        <v>9192.7419354838712</v>
      </c>
      <c r="Y410" s="13">
        <f t="shared" si="175"/>
        <v>9192.7419354838712</v>
      </c>
      <c r="Z410" s="12">
        <f t="shared" si="162"/>
        <v>636.29032258064512</v>
      </c>
      <c r="AA410" s="12">
        <f t="shared" si="172"/>
        <v>473</v>
      </c>
      <c r="AB410" s="1">
        <f t="shared" si="176"/>
        <v>0</v>
      </c>
      <c r="AC410" s="16">
        <f t="shared" si="179"/>
        <v>1109.2903225806451</v>
      </c>
      <c r="AD410" s="16">
        <f t="shared" si="173"/>
        <v>11057.677419354839</v>
      </c>
    </row>
    <row r="411" spans="1:30" x14ac:dyDescent="0.2">
      <c r="A411" s="10" t="s">
        <v>1308</v>
      </c>
      <c r="B411" s="11" t="e">
        <f t="shared" si="177"/>
        <v>#REF!</v>
      </c>
      <c r="C411" s="11" t="s">
        <v>492</v>
      </c>
      <c r="D411" s="19" t="s">
        <v>50</v>
      </c>
      <c r="E411" s="19" t="s">
        <v>484</v>
      </c>
      <c r="F411" s="20">
        <v>43000</v>
      </c>
      <c r="G411" s="11">
        <v>25</v>
      </c>
      <c r="H411" s="13">
        <f t="shared" si="167"/>
        <v>4032.2580645161288</v>
      </c>
      <c r="I411" s="13">
        <f t="shared" si="174"/>
        <v>0</v>
      </c>
      <c r="J411" s="13">
        <f t="shared" si="184"/>
        <v>201.61290322580646</v>
      </c>
      <c r="L411" s="13">
        <f t="shared" si="186"/>
        <v>645.16129032258061</v>
      </c>
      <c r="N411" s="13">
        <f t="shared" si="187"/>
        <v>3411.2903225806449</v>
      </c>
      <c r="O411" s="13">
        <v>0</v>
      </c>
      <c r="Q411" s="13">
        <f t="shared" si="165"/>
        <v>8290.322580645161</v>
      </c>
      <c r="R411" s="12">
        <f t="shared" si="170"/>
        <v>483.87096774193543</v>
      </c>
      <c r="S411" s="12">
        <f t="shared" si="183"/>
        <v>146</v>
      </c>
      <c r="T411" s="21">
        <v>0</v>
      </c>
      <c r="U411" s="13">
        <v>0</v>
      </c>
      <c r="V411" s="13">
        <f t="shared" si="182"/>
        <v>629.87096774193537</v>
      </c>
      <c r="W411" s="13">
        <f t="shared" si="171"/>
        <v>7660.4516129032254</v>
      </c>
      <c r="Y411" s="13">
        <f t="shared" si="175"/>
        <v>7660.4516129032254</v>
      </c>
      <c r="Z411" s="12">
        <f t="shared" si="162"/>
        <v>530.24193548387098</v>
      </c>
      <c r="AA411" s="12">
        <f t="shared" si="172"/>
        <v>394</v>
      </c>
      <c r="AB411" s="1">
        <f t="shared" si="176"/>
        <v>0</v>
      </c>
      <c r="AC411" s="16">
        <f t="shared" si="179"/>
        <v>924.24193548387098</v>
      </c>
      <c r="AD411" s="16">
        <f t="shared" si="173"/>
        <v>9214.5645161290322</v>
      </c>
    </row>
    <row r="412" spans="1:30" x14ac:dyDescent="0.2">
      <c r="A412" s="10" t="s">
        <v>1309</v>
      </c>
      <c r="B412" s="11" t="e">
        <f t="shared" si="177"/>
        <v>#REF!</v>
      </c>
      <c r="C412" s="11" t="s">
        <v>1054</v>
      </c>
      <c r="D412" s="19" t="s">
        <v>50</v>
      </c>
      <c r="E412" s="19" t="s">
        <v>484</v>
      </c>
      <c r="F412" s="20">
        <v>43004</v>
      </c>
      <c r="G412" s="11">
        <v>36</v>
      </c>
      <c r="H412" s="13">
        <f t="shared" si="167"/>
        <v>5806.4516129032254</v>
      </c>
      <c r="I412" s="13">
        <f t="shared" si="174"/>
        <v>0</v>
      </c>
      <c r="J412" s="13">
        <f t="shared" si="184"/>
        <v>290.32258064516128</v>
      </c>
      <c r="L412" s="13">
        <f t="shared" si="186"/>
        <v>929.0322580645161</v>
      </c>
      <c r="N412" s="13">
        <f t="shared" si="187"/>
        <v>4912.2580645161288</v>
      </c>
      <c r="O412" s="13">
        <v>0</v>
      </c>
      <c r="Q412" s="13">
        <f t="shared" si="165"/>
        <v>11938.06451612903</v>
      </c>
      <c r="R412" s="12">
        <f t="shared" si="170"/>
        <v>696.77419354838707</v>
      </c>
      <c r="S412" s="12">
        <f t="shared" si="183"/>
        <v>209</v>
      </c>
      <c r="T412" s="21">
        <v>0</v>
      </c>
      <c r="U412" s="13">
        <v>0</v>
      </c>
      <c r="V412" s="13">
        <f t="shared" si="182"/>
        <v>905.77419354838707</v>
      </c>
      <c r="W412" s="13">
        <f t="shared" si="171"/>
        <v>11032.290322580644</v>
      </c>
      <c r="Y412" s="13">
        <f t="shared" si="175"/>
        <v>11032.290322580644</v>
      </c>
      <c r="Z412" s="12">
        <f t="shared" si="162"/>
        <v>763.54838709677415</v>
      </c>
      <c r="AA412" s="12">
        <f t="shared" si="172"/>
        <v>568</v>
      </c>
      <c r="AB412" s="1">
        <f t="shared" si="176"/>
        <v>0</v>
      </c>
      <c r="AC412" s="16">
        <f t="shared" si="179"/>
        <v>1331.5483870967741</v>
      </c>
      <c r="AD412" s="16">
        <f t="shared" si="173"/>
        <v>13269.612903225805</v>
      </c>
    </row>
    <row r="413" spans="1:30" x14ac:dyDescent="0.2">
      <c r="A413" s="10" t="s">
        <v>1310</v>
      </c>
      <c r="B413" s="11" t="e">
        <f t="shared" si="177"/>
        <v>#REF!</v>
      </c>
      <c r="C413" s="11" t="s">
        <v>1055</v>
      </c>
      <c r="D413" s="19" t="s">
        <v>50</v>
      </c>
      <c r="E413" s="19" t="s">
        <v>484</v>
      </c>
      <c r="F413" s="20">
        <v>43006</v>
      </c>
      <c r="G413" s="11">
        <v>35</v>
      </c>
      <c r="H413" s="13">
        <f t="shared" si="167"/>
        <v>5645.1612903225805</v>
      </c>
      <c r="I413" s="13">
        <f t="shared" si="174"/>
        <v>0</v>
      </c>
      <c r="J413" s="13">
        <f t="shared" si="184"/>
        <v>282.25806451612902</v>
      </c>
      <c r="L413" s="13">
        <f t="shared" si="186"/>
        <v>903.22580645161281</v>
      </c>
      <c r="N413" s="13">
        <f t="shared" si="187"/>
        <v>4775.8064516129025</v>
      </c>
      <c r="O413" s="13">
        <v>0</v>
      </c>
      <c r="Q413" s="13">
        <f t="shared" si="165"/>
        <v>11606.451612903224</v>
      </c>
      <c r="R413" s="12">
        <f t="shared" si="170"/>
        <v>677.41935483870964</v>
      </c>
      <c r="S413" s="12">
        <f t="shared" si="183"/>
        <v>204</v>
      </c>
      <c r="T413" s="21">
        <v>0</v>
      </c>
      <c r="U413" s="13">
        <v>0</v>
      </c>
      <c r="V413" s="13">
        <f t="shared" si="182"/>
        <v>881.41935483870964</v>
      </c>
      <c r="W413" s="13">
        <f t="shared" si="171"/>
        <v>10725.032258064513</v>
      </c>
      <c r="Y413" s="13">
        <f t="shared" si="175"/>
        <v>10725.032258064513</v>
      </c>
      <c r="Z413" s="12">
        <f t="shared" si="162"/>
        <v>742.33870967741939</v>
      </c>
      <c r="AA413" s="12">
        <f t="shared" si="172"/>
        <v>552</v>
      </c>
      <c r="AB413" s="1">
        <f t="shared" si="176"/>
        <v>0</v>
      </c>
      <c r="AC413" s="16">
        <f t="shared" si="179"/>
        <v>1294.3387096774195</v>
      </c>
      <c r="AD413" s="16">
        <f t="shared" si="173"/>
        <v>12900.790322580644</v>
      </c>
    </row>
    <row r="414" spans="1:30" x14ac:dyDescent="0.2">
      <c r="A414" s="10" t="s">
        <v>1311</v>
      </c>
      <c r="B414" s="11" t="e">
        <f t="shared" si="177"/>
        <v>#REF!</v>
      </c>
      <c r="C414" s="11" t="s">
        <v>1056</v>
      </c>
      <c r="D414" s="19" t="s">
        <v>50</v>
      </c>
      <c r="E414" s="19" t="s">
        <v>484</v>
      </c>
      <c r="F414" s="20">
        <v>43005</v>
      </c>
      <c r="G414" s="11">
        <v>34</v>
      </c>
      <c r="H414" s="13">
        <f t="shared" si="167"/>
        <v>5483.8709677419356</v>
      </c>
      <c r="I414" s="13">
        <f t="shared" si="174"/>
        <v>0</v>
      </c>
      <c r="J414" s="13">
        <f t="shared" si="184"/>
        <v>274.19354838709677</v>
      </c>
      <c r="L414" s="13">
        <f t="shared" si="186"/>
        <v>877.41935483870964</v>
      </c>
      <c r="N414" s="13">
        <f t="shared" si="187"/>
        <v>4639.3548387096771</v>
      </c>
      <c r="O414" s="13">
        <v>0</v>
      </c>
      <c r="Q414" s="13">
        <f t="shared" si="165"/>
        <v>11274.838709677419</v>
      </c>
      <c r="R414" s="12">
        <f t="shared" si="170"/>
        <v>658.0645161290322</v>
      </c>
      <c r="S414" s="12">
        <f t="shared" si="183"/>
        <v>198</v>
      </c>
      <c r="T414" s="21">
        <v>0</v>
      </c>
      <c r="U414" s="13">
        <v>0</v>
      </c>
      <c r="V414" s="13">
        <f t="shared" si="182"/>
        <v>856.0645161290322</v>
      </c>
      <c r="W414" s="13">
        <f t="shared" si="171"/>
        <v>10418.774193548386</v>
      </c>
      <c r="Y414" s="13">
        <f t="shared" si="175"/>
        <v>10418.774193548386</v>
      </c>
      <c r="Z414" s="12">
        <f t="shared" si="162"/>
        <v>721.12903225806451</v>
      </c>
      <c r="AA414" s="12">
        <f t="shared" si="172"/>
        <v>536</v>
      </c>
      <c r="AB414" s="1">
        <f t="shared" si="176"/>
        <v>0</v>
      </c>
      <c r="AC414" s="16">
        <f t="shared" si="179"/>
        <v>1257.1290322580644</v>
      </c>
      <c r="AD414" s="16">
        <f t="shared" si="173"/>
        <v>12531.967741935483</v>
      </c>
    </row>
    <row r="415" spans="1:30" x14ac:dyDescent="0.2">
      <c r="A415" s="10" t="s">
        <v>333</v>
      </c>
      <c r="B415" s="11" t="e">
        <f t="shared" si="177"/>
        <v>#REF!</v>
      </c>
      <c r="C415" s="57" t="s">
        <v>738</v>
      </c>
      <c r="D415" s="19" t="s">
        <v>50</v>
      </c>
      <c r="E415" s="19" t="s">
        <v>234</v>
      </c>
      <c r="F415" s="20">
        <v>42431</v>
      </c>
      <c r="G415" s="11">
        <v>35</v>
      </c>
      <c r="H415" s="13">
        <f t="shared" si="167"/>
        <v>5645.1612903225805</v>
      </c>
      <c r="I415" s="13">
        <f t="shared" si="174"/>
        <v>0</v>
      </c>
      <c r="J415" s="13">
        <f t="shared" si="184"/>
        <v>282.25806451612902</v>
      </c>
      <c r="L415" s="13">
        <f t="shared" si="186"/>
        <v>903.22580645161281</v>
      </c>
      <c r="N415" s="13">
        <f>((6317)/G$3)*G415</f>
        <v>7132.0967741935483</v>
      </c>
      <c r="O415" s="13">
        <v>1176</v>
      </c>
      <c r="Q415" s="13">
        <f t="shared" si="165"/>
        <v>15138.741935483871</v>
      </c>
      <c r="R415" s="12">
        <f t="shared" si="170"/>
        <v>677.41935483870964</v>
      </c>
      <c r="S415" s="12">
        <f t="shared" si="183"/>
        <v>265</v>
      </c>
      <c r="T415" s="21">
        <v>0</v>
      </c>
      <c r="U415" s="13">
        <v>0</v>
      </c>
      <c r="V415" s="13">
        <f t="shared" si="182"/>
        <v>942.41935483870964</v>
      </c>
      <c r="W415" s="13">
        <f t="shared" si="171"/>
        <v>14196.322580645161</v>
      </c>
      <c r="X415" s="13">
        <v>1155</v>
      </c>
      <c r="Y415" s="13">
        <f t="shared" si="175"/>
        <v>13041.322580645161</v>
      </c>
      <c r="Z415" s="12">
        <f t="shared" si="162"/>
        <v>742.33870967741939</v>
      </c>
      <c r="AA415" s="12">
        <f t="shared" si="172"/>
        <v>720</v>
      </c>
      <c r="AB415" s="1">
        <f t="shared" si="176"/>
        <v>0</v>
      </c>
      <c r="AC415" s="16">
        <f t="shared" si="179"/>
        <v>1462.3387096774195</v>
      </c>
      <c r="AD415" s="16">
        <f t="shared" si="173"/>
        <v>16601.080645161292</v>
      </c>
    </row>
    <row r="416" spans="1:30" x14ac:dyDescent="0.2">
      <c r="A416" s="10" t="s">
        <v>1312</v>
      </c>
      <c r="B416" s="11" t="e">
        <f>#REF!+1</f>
        <v>#REF!</v>
      </c>
      <c r="C416" s="11" t="s">
        <v>1057</v>
      </c>
      <c r="D416" s="19" t="s">
        <v>50</v>
      </c>
      <c r="E416" s="19" t="s">
        <v>234</v>
      </c>
      <c r="F416" s="20">
        <v>42983</v>
      </c>
      <c r="G416" s="11">
        <v>35</v>
      </c>
      <c r="H416" s="13">
        <f t="shared" si="167"/>
        <v>5645.1612903225805</v>
      </c>
      <c r="I416" s="13">
        <f t="shared" si="174"/>
        <v>0</v>
      </c>
      <c r="J416" s="13">
        <f t="shared" si="184"/>
        <v>282.25806451612902</v>
      </c>
      <c r="L416" s="13">
        <f t="shared" si="186"/>
        <v>903.22580645161281</v>
      </c>
      <c r="N416" s="13">
        <f t="shared" si="180"/>
        <v>5925.1612903225805</v>
      </c>
      <c r="O416" s="13">
        <v>0</v>
      </c>
      <c r="Q416" s="13">
        <f t="shared" si="165"/>
        <v>12755.806451612902</v>
      </c>
      <c r="R416" s="12">
        <f t="shared" si="170"/>
        <v>677.41935483870964</v>
      </c>
      <c r="S416" s="12">
        <f t="shared" si="183"/>
        <v>224</v>
      </c>
      <c r="T416" s="21">
        <v>0</v>
      </c>
      <c r="U416" s="13">
        <v>0</v>
      </c>
      <c r="V416" s="13">
        <f t="shared" si="182"/>
        <v>901.41935483870964</v>
      </c>
      <c r="W416" s="13">
        <f t="shared" si="171"/>
        <v>11854.387096774191</v>
      </c>
      <c r="Y416" s="13">
        <f t="shared" si="175"/>
        <v>11854.387096774191</v>
      </c>
      <c r="Z416" s="12">
        <f t="shared" si="162"/>
        <v>742.33870967741939</v>
      </c>
      <c r="AA416" s="12">
        <f t="shared" si="172"/>
        <v>606</v>
      </c>
      <c r="AB416" s="1">
        <f t="shared" si="176"/>
        <v>0</v>
      </c>
      <c r="AC416" s="16">
        <f t="shared" si="179"/>
        <v>1348.3387096774195</v>
      </c>
      <c r="AD416" s="16">
        <f t="shared" si="173"/>
        <v>14104.145161290322</v>
      </c>
    </row>
    <row r="417" spans="1:30" x14ac:dyDescent="0.2">
      <c r="A417" s="10" t="s">
        <v>1313</v>
      </c>
      <c r="B417" s="11" t="e">
        <f t="shared" si="177"/>
        <v>#REF!</v>
      </c>
      <c r="C417" s="11" t="s">
        <v>1058</v>
      </c>
      <c r="D417" s="19" t="s">
        <v>50</v>
      </c>
      <c r="E417" s="19" t="s">
        <v>234</v>
      </c>
      <c r="F417" s="20">
        <v>42983</v>
      </c>
      <c r="G417" s="11">
        <v>30</v>
      </c>
      <c r="H417" s="13">
        <f t="shared" si="167"/>
        <v>4838.7096774193542</v>
      </c>
      <c r="I417" s="13">
        <f t="shared" si="174"/>
        <v>0</v>
      </c>
      <c r="J417" s="13">
        <f t="shared" si="184"/>
        <v>241.93548387096772</v>
      </c>
      <c r="L417" s="13">
        <f t="shared" si="186"/>
        <v>774.19354838709671</v>
      </c>
      <c r="N417" s="13">
        <f t="shared" si="180"/>
        <v>5078.7096774193542</v>
      </c>
      <c r="O417" s="13">
        <v>0</v>
      </c>
      <c r="Q417" s="13">
        <f t="shared" si="165"/>
        <v>10933.548387096773</v>
      </c>
      <c r="R417" s="12">
        <f t="shared" si="170"/>
        <v>580.64516129032245</v>
      </c>
      <c r="S417" s="12">
        <f t="shared" si="183"/>
        <v>192</v>
      </c>
      <c r="T417" s="21">
        <v>0</v>
      </c>
      <c r="U417" s="13">
        <v>0</v>
      </c>
      <c r="V417" s="13">
        <f t="shared" si="182"/>
        <v>772.64516129032245</v>
      </c>
      <c r="W417" s="13">
        <f t="shared" si="171"/>
        <v>10160.903225806451</v>
      </c>
      <c r="Y417" s="13">
        <f t="shared" si="175"/>
        <v>10160.903225806451</v>
      </c>
      <c r="Z417" s="12">
        <f t="shared" si="162"/>
        <v>636.29032258064512</v>
      </c>
      <c r="AA417" s="12">
        <f t="shared" si="172"/>
        <v>520</v>
      </c>
      <c r="AB417" s="1">
        <f t="shared" si="176"/>
        <v>0</v>
      </c>
      <c r="AC417" s="16">
        <f t="shared" si="179"/>
        <v>1156.2903225806451</v>
      </c>
      <c r="AD417" s="16">
        <f t="shared" si="173"/>
        <v>12089.838709677419</v>
      </c>
    </row>
    <row r="418" spans="1:30" x14ac:dyDescent="0.2">
      <c r="A418" s="10" t="s">
        <v>1314</v>
      </c>
      <c r="B418" s="11" t="e">
        <f t="shared" si="177"/>
        <v>#REF!</v>
      </c>
      <c r="C418" s="11" t="s">
        <v>1059</v>
      </c>
      <c r="D418" s="19" t="s">
        <v>50</v>
      </c>
      <c r="E418" s="19" t="s">
        <v>234</v>
      </c>
      <c r="F418" s="20">
        <v>42985</v>
      </c>
      <c r="G418" s="11">
        <v>13</v>
      </c>
      <c r="H418" s="13">
        <f t="shared" si="167"/>
        <v>2096.7741935483868</v>
      </c>
      <c r="I418" s="13">
        <f t="shared" si="174"/>
        <v>0</v>
      </c>
      <c r="J418" s="13">
        <f t="shared" si="184"/>
        <v>104.83870967741935</v>
      </c>
      <c r="L418" s="13">
        <f t="shared" si="186"/>
        <v>335.48387096774189</v>
      </c>
      <c r="N418" s="13">
        <f t="shared" si="180"/>
        <v>2200.7741935483868</v>
      </c>
      <c r="O418" s="13">
        <v>0</v>
      </c>
      <c r="Q418" s="13">
        <f t="shared" si="165"/>
        <v>4737.8709677419356</v>
      </c>
      <c r="R418" s="12">
        <f t="shared" si="170"/>
        <v>251.61290322580641</v>
      </c>
      <c r="S418" s="12">
        <f t="shared" si="183"/>
        <v>83</v>
      </c>
      <c r="T418" s="21">
        <v>0</v>
      </c>
      <c r="U418" s="13">
        <v>0</v>
      </c>
      <c r="V418" s="13">
        <f t="shared" si="182"/>
        <v>334.61290322580641</v>
      </c>
      <c r="W418" s="13">
        <f t="shared" si="171"/>
        <v>4403.2580645161288</v>
      </c>
      <c r="Y418" s="13">
        <f t="shared" si="175"/>
        <v>4403.2580645161288</v>
      </c>
      <c r="Z418" s="12">
        <f t="shared" si="162"/>
        <v>275.72580645161287</v>
      </c>
      <c r="AA418" s="12">
        <f t="shared" si="172"/>
        <v>226</v>
      </c>
      <c r="AB418" s="1">
        <f t="shared" si="176"/>
        <v>0</v>
      </c>
      <c r="AC418" s="16">
        <f t="shared" si="179"/>
        <v>501.72580645161287</v>
      </c>
      <c r="AD418" s="16">
        <f t="shared" si="173"/>
        <v>5239.5967741935483</v>
      </c>
    </row>
    <row r="419" spans="1:30" x14ac:dyDescent="0.2">
      <c r="A419" s="10" t="s">
        <v>1316</v>
      </c>
      <c r="B419" s="11" t="e">
        <f>#REF!+1</f>
        <v>#REF!</v>
      </c>
      <c r="C419" s="11" t="s">
        <v>1060</v>
      </c>
      <c r="D419" s="19" t="s">
        <v>50</v>
      </c>
      <c r="E419" s="19" t="s">
        <v>234</v>
      </c>
      <c r="F419" s="20">
        <v>42986</v>
      </c>
      <c r="G419" s="11">
        <v>1</v>
      </c>
      <c r="H419" s="13">
        <f t="shared" si="167"/>
        <v>161.29032258064515</v>
      </c>
      <c r="I419" s="13">
        <f t="shared" si="174"/>
        <v>0</v>
      </c>
      <c r="J419" s="13">
        <f t="shared" si="184"/>
        <v>8.064516129032258</v>
      </c>
      <c r="L419" s="13">
        <f t="shared" si="186"/>
        <v>25.806451612903224</v>
      </c>
      <c r="N419" s="13">
        <f t="shared" si="180"/>
        <v>169.29032258064515</v>
      </c>
      <c r="O419" s="13">
        <v>0</v>
      </c>
      <c r="Q419" s="13">
        <f t="shared" si="165"/>
        <v>364.45161290322579</v>
      </c>
      <c r="R419" s="12">
        <f t="shared" si="170"/>
        <v>19.354838709677416</v>
      </c>
      <c r="S419" s="12">
        <f t="shared" si="183"/>
        <v>7</v>
      </c>
      <c r="T419" s="21">
        <v>0</v>
      </c>
      <c r="U419" s="13">
        <v>0</v>
      </c>
      <c r="V419" s="13">
        <f t="shared" si="182"/>
        <v>26.354838709677416</v>
      </c>
      <c r="W419" s="13">
        <f t="shared" si="171"/>
        <v>338.09677419354836</v>
      </c>
      <c r="Y419" s="13">
        <f t="shared" si="175"/>
        <v>338.09677419354836</v>
      </c>
      <c r="Z419" s="12">
        <f t="shared" si="162"/>
        <v>21.20967741935484</v>
      </c>
      <c r="AA419" s="12">
        <f t="shared" si="172"/>
        <v>18</v>
      </c>
      <c r="AB419" s="1">
        <f t="shared" si="176"/>
        <v>0</v>
      </c>
      <c r="AC419" s="16">
        <f t="shared" si="179"/>
        <v>39.20967741935484</v>
      </c>
      <c r="AD419" s="16">
        <f t="shared" si="173"/>
        <v>403.66129032258061</v>
      </c>
    </row>
    <row r="420" spans="1:30" x14ac:dyDescent="0.2">
      <c r="A420" s="10" t="s">
        <v>1317</v>
      </c>
      <c r="B420" s="11" t="e">
        <f>#REF!+1</f>
        <v>#REF!</v>
      </c>
      <c r="C420" s="11" t="s">
        <v>1061</v>
      </c>
      <c r="D420" s="19" t="s">
        <v>50</v>
      </c>
      <c r="E420" s="19" t="s">
        <v>234</v>
      </c>
      <c r="F420" s="20">
        <v>42987</v>
      </c>
      <c r="G420" s="11">
        <v>10</v>
      </c>
      <c r="H420" s="13">
        <f t="shared" si="167"/>
        <v>1612.9032258064515</v>
      </c>
      <c r="I420" s="13">
        <f t="shared" si="174"/>
        <v>0</v>
      </c>
      <c r="J420" s="13">
        <f t="shared" si="184"/>
        <v>80.645161290322577</v>
      </c>
      <c r="L420" s="13">
        <f t="shared" si="186"/>
        <v>258.06451612903226</v>
      </c>
      <c r="N420" s="13">
        <f t="shared" si="180"/>
        <v>1692.9032258064515</v>
      </c>
      <c r="O420" s="13">
        <v>0</v>
      </c>
      <c r="Q420" s="13">
        <f t="shared" si="165"/>
        <v>3644.5161290322576</v>
      </c>
      <c r="R420" s="12">
        <f t="shared" si="170"/>
        <v>193.54838709677418</v>
      </c>
      <c r="S420" s="12">
        <f t="shared" si="183"/>
        <v>64</v>
      </c>
      <c r="T420" s="21">
        <v>0</v>
      </c>
      <c r="U420" s="13">
        <v>0</v>
      </c>
      <c r="V420" s="13">
        <f t="shared" si="182"/>
        <v>257.54838709677415</v>
      </c>
      <c r="W420" s="13">
        <f t="shared" si="171"/>
        <v>3386.9677419354834</v>
      </c>
      <c r="Y420" s="13">
        <f t="shared" si="175"/>
        <v>3386.9677419354834</v>
      </c>
      <c r="Z420" s="12">
        <f t="shared" si="162"/>
        <v>212.09677419354838</v>
      </c>
      <c r="AA420" s="12">
        <f t="shared" si="172"/>
        <v>174</v>
      </c>
      <c r="AB420" s="1">
        <f t="shared" si="176"/>
        <v>0</v>
      </c>
      <c r="AC420" s="16">
        <f t="shared" si="179"/>
        <v>386.09677419354841</v>
      </c>
      <c r="AD420" s="16">
        <f t="shared" si="173"/>
        <v>4030.6129032258059</v>
      </c>
    </row>
    <row r="421" spans="1:30" x14ac:dyDescent="0.2">
      <c r="A421" s="10" t="s">
        <v>1318</v>
      </c>
      <c r="B421" s="11" t="e">
        <f>#REF!+1</f>
        <v>#REF!</v>
      </c>
      <c r="C421" s="11" t="s">
        <v>481</v>
      </c>
      <c r="D421" s="19" t="s">
        <v>50</v>
      </c>
      <c r="E421" s="19" t="s">
        <v>234</v>
      </c>
      <c r="F421" s="20">
        <v>42984</v>
      </c>
      <c r="G421" s="11">
        <v>24</v>
      </c>
      <c r="H421" s="13">
        <f t="shared" si="167"/>
        <v>3870.9677419354839</v>
      </c>
      <c r="I421" s="13">
        <f t="shared" si="174"/>
        <v>0</v>
      </c>
      <c r="J421" s="13">
        <f t="shared" si="184"/>
        <v>193.54838709677421</v>
      </c>
      <c r="L421" s="13">
        <f t="shared" si="186"/>
        <v>619.35483870967732</v>
      </c>
      <c r="N421" s="13">
        <f t="shared" si="180"/>
        <v>4062.9677419354839</v>
      </c>
      <c r="O421" s="13">
        <v>0</v>
      </c>
      <c r="Q421" s="13">
        <f t="shared" si="165"/>
        <v>8746.8387096774204</v>
      </c>
      <c r="R421" s="12">
        <f t="shared" si="170"/>
        <v>464.51612903225805</v>
      </c>
      <c r="S421" s="12">
        <f t="shared" si="183"/>
        <v>154</v>
      </c>
      <c r="T421" s="21">
        <v>0</v>
      </c>
      <c r="U421" s="13">
        <v>0</v>
      </c>
      <c r="V421" s="13">
        <f t="shared" si="182"/>
        <v>618.51612903225805</v>
      </c>
      <c r="W421" s="13">
        <f t="shared" si="171"/>
        <v>8128.3225806451628</v>
      </c>
      <c r="Y421" s="13">
        <f t="shared" si="175"/>
        <v>8128.3225806451628</v>
      </c>
      <c r="Z421" s="12">
        <f t="shared" ref="Z421:Z484" si="188">(H421+I421)*13.15%</f>
        <v>509.03225806451616</v>
      </c>
      <c r="AA421" s="12">
        <f t="shared" si="172"/>
        <v>416</v>
      </c>
      <c r="AB421" s="1">
        <f t="shared" si="176"/>
        <v>0</v>
      </c>
      <c r="AC421" s="16">
        <f t="shared" si="179"/>
        <v>925.0322580645161</v>
      </c>
      <c r="AD421" s="16">
        <f t="shared" si="173"/>
        <v>9671.8709677419356</v>
      </c>
    </row>
    <row r="422" spans="1:30" x14ac:dyDescent="0.2">
      <c r="A422" s="10" t="s">
        <v>1319</v>
      </c>
      <c r="B422" s="11" t="e">
        <f t="shared" si="177"/>
        <v>#REF!</v>
      </c>
      <c r="C422" s="11" t="s">
        <v>1062</v>
      </c>
      <c r="D422" s="19" t="s">
        <v>50</v>
      </c>
      <c r="E422" s="19" t="s">
        <v>234</v>
      </c>
      <c r="F422" s="20">
        <v>42985</v>
      </c>
      <c r="G422" s="11">
        <v>35</v>
      </c>
      <c r="H422" s="13">
        <f t="shared" si="167"/>
        <v>5645.1612903225805</v>
      </c>
      <c r="I422" s="13">
        <f t="shared" si="174"/>
        <v>0</v>
      </c>
      <c r="J422" s="13">
        <f t="shared" si="184"/>
        <v>282.25806451612902</v>
      </c>
      <c r="L422" s="13">
        <f t="shared" si="186"/>
        <v>903.22580645161281</v>
      </c>
      <c r="N422" s="13">
        <f t="shared" si="180"/>
        <v>5925.1612903225805</v>
      </c>
      <c r="O422" s="13">
        <v>0</v>
      </c>
      <c r="Q422" s="13">
        <f t="shared" si="165"/>
        <v>12755.806451612902</v>
      </c>
      <c r="R422" s="12">
        <f t="shared" si="170"/>
        <v>677.41935483870964</v>
      </c>
      <c r="S422" s="12">
        <f t="shared" si="183"/>
        <v>224</v>
      </c>
      <c r="T422" s="21">
        <v>0</v>
      </c>
      <c r="U422" s="13">
        <v>0</v>
      </c>
      <c r="V422" s="13">
        <f t="shared" si="182"/>
        <v>901.41935483870964</v>
      </c>
      <c r="W422" s="13">
        <f t="shared" si="171"/>
        <v>11854.387096774191</v>
      </c>
      <c r="Y422" s="13">
        <f t="shared" si="175"/>
        <v>11854.387096774191</v>
      </c>
      <c r="Z422" s="12">
        <f t="shared" si="188"/>
        <v>742.33870967741939</v>
      </c>
      <c r="AA422" s="12">
        <f t="shared" si="172"/>
        <v>606</v>
      </c>
      <c r="AB422" s="1">
        <f t="shared" si="176"/>
        <v>0</v>
      </c>
      <c r="AC422" s="16">
        <f t="shared" si="179"/>
        <v>1348.3387096774195</v>
      </c>
      <c r="AD422" s="16">
        <f t="shared" si="173"/>
        <v>14104.145161290322</v>
      </c>
    </row>
    <row r="423" spans="1:30" x14ac:dyDescent="0.2">
      <c r="A423" s="10" t="s">
        <v>1320</v>
      </c>
      <c r="B423" s="11" t="e">
        <f t="shared" si="177"/>
        <v>#REF!</v>
      </c>
      <c r="C423" s="11" t="s">
        <v>1063</v>
      </c>
      <c r="D423" s="19" t="s">
        <v>50</v>
      </c>
      <c r="E423" s="19" t="s">
        <v>234</v>
      </c>
      <c r="F423" s="20">
        <v>42987</v>
      </c>
      <c r="G423" s="11">
        <v>21</v>
      </c>
      <c r="H423" s="13">
        <f t="shared" si="167"/>
        <v>3387.0967741935483</v>
      </c>
      <c r="I423" s="13">
        <f t="shared" si="174"/>
        <v>0</v>
      </c>
      <c r="J423" s="13">
        <f t="shared" si="184"/>
        <v>169.35483870967744</v>
      </c>
      <c r="L423" s="13">
        <f t="shared" si="186"/>
        <v>541.93548387096769</v>
      </c>
      <c r="N423" s="13">
        <f t="shared" si="180"/>
        <v>3555.0967741935483</v>
      </c>
      <c r="O423" s="13">
        <v>0</v>
      </c>
      <c r="Q423" s="13">
        <f t="shared" si="165"/>
        <v>7653.4838709677415</v>
      </c>
      <c r="R423" s="12">
        <f t="shared" si="170"/>
        <v>406.45161290322579</v>
      </c>
      <c r="S423" s="12">
        <f t="shared" si="183"/>
        <v>134</v>
      </c>
      <c r="T423" s="21">
        <v>0</v>
      </c>
      <c r="U423" s="13">
        <v>0</v>
      </c>
      <c r="V423" s="13">
        <f t="shared" si="182"/>
        <v>540.45161290322585</v>
      </c>
      <c r="W423" s="13">
        <f t="shared" si="171"/>
        <v>7113.0322580645152</v>
      </c>
      <c r="Y423" s="13">
        <f t="shared" si="175"/>
        <v>7113.0322580645152</v>
      </c>
      <c r="Z423" s="12">
        <f t="shared" si="188"/>
        <v>445.40322580645164</v>
      </c>
      <c r="AA423" s="12">
        <f t="shared" si="172"/>
        <v>364</v>
      </c>
      <c r="AB423" s="1">
        <f t="shared" si="176"/>
        <v>0</v>
      </c>
      <c r="AC423" s="16">
        <f t="shared" si="179"/>
        <v>809.4032258064517</v>
      </c>
      <c r="AD423" s="16">
        <f t="shared" si="173"/>
        <v>8462.8870967741932</v>
      </c>
    </row>
    <row r="424" spans="1:30" x14ac:dyDescent="0.2">
      <c r="A424" s="10" t="s">
        <v>1321</v>
      </c>
      <c r="B424" s="11" t="e">
        <f t="shared" si="177"/>
        <v>#REF!</v>
      </c>
      <c r="C424" s="11" t="s">
        <v>1064</v>
      </c>
      <c r="D424" s="19" t="s">
        <v>50</v>
      </c>
      <c r="E424" s="19" t="s">
        <v>234</v>
      </c>
      <c r="F424" s="20">
        <v>42988</v>
      </c>
      <c r="G424" s="11">
        <v>32</v>
      </c>
      <c r="H424" s="13">
        <f t="shared" si="167"/>
        <v>5161.2903225806449</v>
      </c>
      <c r="I424" s="13">
        <f t="shared" si="174"/>
        <v>0</v>
      </c>
      <c r="J424" s="13">
        <f t="shared" si="184"/>
        <v>258.06451612903226</v>
      </c>
      <c r="L424" s="13">
        <f t="shared" si="186"/>
        <v>825.80645161290317</v>
      </c>
      <c r="N424" s="13">
        <f t="shared" si="180"/>
        <v>5417.2903225806449</v>
      </c>
      <c r="O424" s="13">
        <v>0</v>
      </c>
      <c r="Q424" s="13">
        <f t="shared" si="165"/>
        <v>11662.451612903225</v>
      </c>
      <c r="R424" s="12">
        <f t="shared" si="170"/>
        <v>619.35483870967732</v>
      </c>
      <c r="S424" s="12">
        <f t="shared" si="183"/>
        <v>205</v>
      </c>
      <c r="T424" s="21">
        <v>0</v>
      </c>
      <c r="U424" s="13">
        <v>0</v>
      </c>
      <c r="V424" s="13">
        <f t="shared" si="182"/>
        <v>824.35483870967732</v>
      </c>
      <c r="W424" s="13">
        <f t="shared" si="171"/>
        <v>10838.096774193547</v>
      </c>
      <c r="Y424" s="13">
        <f t="shared" si="175"/>
        <v>10838.096774193547</v>
      </c>
      <c r="Z424" s="12">
        <f t="shared" si="188"/>
        <v>678.70967741935488</v>
      </c>
      <c r="AA424" s="12">
        <f t="shared" si="172"/>
        <v>554</v>
      </c>
      <c r="AB424" s="1">
        <f t="shared" si="176"/>
        <v>0</v>
      </c>
      <c r="AC424" s="16">
        <f t="shared" si="179"/>
        <v>1232.7096774193549</v>
      </c>
      <c r="AD424" s="16">
        <f t="shared" si="173"/>
        <v>12895.16129032258</v>
      </c>
    </row>
    <row r="425" spans="1:30" x14ac:dyDescent="0.2">
      <c r="A425" s="10" t="s">
        <v>1322</v>
      </c>
      <c r="B425" s="11" t="e">
        <f t="shared" si="177"/>
        <v>#REF!</v>
      </c>
      <c r="C425" s="11" t="s">
        <v>1065</v>
      </c>
      <c r="D425" s="19" t="s">
        <v>50</v>
      </c>
      <c r="E425" s="19" t="s">
        <v>234</v>
      </c>
      <c r="F425" s="20">
        <v>42988</v>
      </c>
      <c r="G425" s="11">
        <v>32</v>
      </c>
      <c r="H425" s="13">
        <f t="shared" si="167"/>
        <v>5161.2903225806449</v>
      </c>
      <c r="I425" s="13">
        <f t="shared" si="174"/>
        <v>0</v>
      </c>
      <c r="J425" s="13">
        <f t="shared" si="184"/>
        <v>258.06451612903226</v>
      </c>
      <c r="L425" s="13">
        <f t="shared" si="186"/>
        <v>825.80645161290317</v>
      </c>
      <c r="N425" s="13">
        <f t="shared" si="180"/>
        <v>5417.2903225806449</v>
      </c>
      <c r="O425" s="13">
        <v>0</v>
      </c>
      <c r="Q425" s="13">
        <f t="shared" si="165"/>
        <v>11662.451612903225</v>
      </c>
      <c r="R425" s="12">
        <f t="shared" si="170"/>
        <v>619.35483870967732</v>
      </c>
      <c r="S425" s="12">
        <f t="shared" si="183"/>
        <v>205</v>
      </c>
      <c r="T425" s="21">
        <v>0</v>
      </c>
      <c r="U425" s="13">
        <v>0</v>
      </c>
      <c r="V425" s="13">
        <f t="shared" si="182"/>
        <v>824.35483870967732</v>
      </c>
      <c r="W425" s="13">
        <f t="shared" si="171"/>
        <v>10838.096774193547</v>
      </c>
      <c r="Y425" s="13">
        <f t="shared" si="175"/>
        <v>10838.096774193547</v>
      </c>
      <c r="Z425" s="12">
        <f t="shared" si="188"/>
        <v>678.70967741935488</v>
      </c>
      <c r="AA425" s="12">
        <f t="shared" si="172"/>
        <v>554</v>
      </c>
      <c r="AB425" s="1">
        <f t="shared" si="176"/>
        <v>0</v>
      </c>
      <c r="AC425" s="16">
        <f t="shared" si="179"/>
        <v>1232.7096774193549</v>
      </c>
      <c r="AD425" s="16">
        <f t="shared" si="173"/>
        <v>12895.16129032258</v>
      </c>
    </row>
    <row r="426" spans="1:30" x14ac:dyDescent="0.2">
      <c r="A426" s="10" t="s">
        <v>1323</v>
      </c>
      <c r="B426" s="11" t="e">
        <f>#REF!+1</f>
        <v>#REF!</v>
      </c>
      <c r="C426" s="11" t="s">
        <v>1066</v>
      </c>
      <c r="D426" s="19" t="s">
        <v>50</v>
      </c>
      <c r="E426" s="19" t="s">
        <v>234</v>
      </c>
      <c r="F426" s="20">
        <v>42989</v>
      </c>
      <c r="G426" s="11">
        <v>29</v>
      </c>
      <c r="H426" s="13">
        <f t="shared" si="167"/>
        <v>4677.4193548387093</v>
      </c>
      <c r="I426" s="13">
        <f t="shared" si="174"/>
        <v>0</v>
      </c>
      <c r="J426" s="13">
        <f t="shared" si="184"/>
        <v>233.87096774193549</v>
      </c>
      <c r="L426" s="13">
        <f t="shared" si="186"/>
        <v>748.38709677419354</v>
      </c>
      <c r="N426" s="13">
        <f t="shared" si="180"/>
        <v>4909.4193548387093</v>
      </c>
      <c r="O426" s="13">
        <v>0</v>
      </c>
      <c r="Q426" s="13">
        <f t="shared" si="165"/>
        <v>10569.096774193547</v>
      </c>
      <c r="R426" s="12">
        <f t="shared" si="170"/>
        <v>561.29032258064512</v>
      </c>
      <c r="S426" s="12">
        <f t="shared" si="183"/>
        <v>185</v>
      </c>
      <c r="T426" s="21">
        <v>0</v>
      </c>
      <c r="U426" s="13">
        <v>0</v>
      </c>
      <c r="V426" s="13">
        <f t="shared" si="182"/>
        <v>746.29032258064512</v>
      </c>
      <c r="W426" s="13">
        <f t="shared" si="171"/>
        <v>9822.8064516129016</v>
      </c>
      <c r="Y426" s="13">
        <f t="shared" si="175"/>
        <v>9822.8064516129016</v>
      </c>
      <c r="Z426" s="12">
        <f t="shared" si="188"/>
        <v>615.08064516129025</v>
      </c>
      <c r="AA426" s="12">
        <f t="shared" si="172"/>
        <v>503</v>
      </c>
      <c r="AB426" s="1">
        <f t="shared" si="176"/>
        <v>0</v>
      </c>
      <c r="AC426" s="16">
        <f t="shared" si="179"/>
        <v>1118.0806451612902</v>
      </c>
      <c r="AD426" s="16">
        <f t="shared" si="173"/>
        <v>11687.177419354837</v>
      </c>
    </row>
    <row r="427" spans="1:30" x14ac:dyDescent="0.2">
      <c r="A427" s="10" t="s">
        <v>1324</v>
      </c>
      <c r="B427" s="11" t="e">
        <f t="shared" si="177"/>
        <v>#REF!</v>
      </c>
      <c r="C427" s="11" t="s">
        <v>1067</v>
      </c>
      <c r="D427" s="19" t="s">
        <v>50</v>
      </c>
      <c r="E427" s="19" t="s">
        <v>234</v>
      </c>
      <c r="F427" s="20">
        <v>42991</v>
      </c>
      <c r="G427" s="11">
        <v>23</v>
      </c>
      <c r="H427" s="13">
        <f t="shared" si="167"/>
        <v>3709.6774193548385</v>
      </c>
      <c r="I427" s="13">
        <f t="shared" si="174"/>
        <v>0</v>
      </c>
      <c r="J427" s="13">
        <f t="shared" si="184"/>
        <v>185.48387096774195</v>
      </c>
      <c r="L427" s="13">
        <f t="shared" si="186"/>
        <v>593.54838709677415</v>
      </c>
      <c r="N427" s="13">
        <f t="shared" si="180"/>
        <v>3893.6774193548385</v>
      </c>
      <c r="O427" s="13">
        <v>0</v>
      </c>
      <c r="Q427" s="13">
        <f t="shared" si="165"/>
        <v>8382.3870967741932</v>
      </c>
      <c r="R427" s="12">
        <f t="shared" si="170"/>
        <v>445.16129032258061</v>
      </c>
      <c r="S427" s="12">
        <f t="shared" si="183"/>
        <v>147</v>
      </c>
      <c r="T427" s="21">
        <v>0</v>
      </c>
      <c r="U427" s="13">
        <v>0</v>
      </c>
      <c r="V427" s="13">
        <f t="shared" si="182"/>
        <v>592.16129032258061</v>
      </c>
      <c r="W427" s="13">
        <f t="shared" si="171"/>
        <v>7790.2258064516127</v>
      </c>
      <c r="Y427" s="13">
        <f t="shared" si="175"/>
        <v>7790.2258064516127</v>
      </c>
      <c r="Z427" s="12">
        <f t="shared" si="188"/>
        <v>487.82258064516128</v>
      </c>
      <c r="AA427" s="12">
        <f t="shared" si="172"/>
        <v>399</v>
      </c>
      <c r="AB427" s="1">
        <f t="shared" si="176"/>
        <v>0</v>
      </c>
      <c r="AC427" s="16">
        <f t="shared" si="179"/>
        <v>886.82258064516122</v>
      </c>
      <c r="AD427" s="16">
        <f t="shared" si="173"/>
        <v>9269.2096774193542</v>
      </c>
    </row>
    <row r="428" spans="1:30" x14ac:dyDescent="0.2">
      <c r="A428" s="10" t="s">
        <v>1325</v>
      </c>
      <c r="B428" s="11" t="e">
        <f t="shared" si="177"/>
        <v>#REF!</v>
      </c>
      <c r="C428" s="11" t="s">
        <v>1068</v>
      </c>
      <c r="D428" s="19" t="s">
        <v>50</v>
      </c>
      <c r="E428" s="19" t="s">
        <v>234</v>
      </c>
      <c r="F428" s="20">
        <v>42988</v>
      </c>
      <c r="G428" s="11">
        <v>33</v>
      </c>
      <c r="H428" s="13">
        <f t="shared" si="167"/>
        <v>5322.5806451612898</v>
      </c>
      <c r="I428" s="13">
        <f t="shared" si="174"/>
        <v>0</v>
      </c>
      <c r="J428" s="13">
        <f t="shared" si="184"/>
        <v>266.12903225806451</v>
      </c>
      <c r="L428" s="13">
        <f t="shared" si="186"/>
        <v>851.61290322580635</v>
      </c>
      <c r="N428" s="13">
        <f t="shared" si="180"/>
        <v>5586.5806451612898</v>
      </c>
      <c r="O428" s="13">
        <v>0</v>
      </c>
      <c r="Q428" s="13">
        <f t="shared" si="165"/>
        <v>12026.903225806451</v>
      </c>
      <c r="R428" s="12">
        <f t="shared" si="170"/>
        <v>638.70967741935476</v>
      </c>
      <c r="S428" s="12">
        <f t="shared" si="183"/>
        <v>211</v>
      </c>
      <c r="T428" s="21">
        <v>0</v>
      </c>
      <c r="U428" s="13">
        <v>0</v>
      </c>
      <c r="V428" s="13">
        <f t="shared" si="182"/>
        <v>849.70967741935476</v>
      </c>
      <c r="W428" s="13">
        <f t="shared" si="171"/>
        <v>11177.193548387097</v>
      </c>
      <c r="Y428" s="13">
        <f t="shared" si="175"/>
        <v>11177.193548387097</v>
      </c>
      <c r="Z428" s="12">
        <f t="shared" si="188"/>
        <v>699.91935483870964</v>
      </c>
      <c r="AA428" s="12">
        <f t="shared" si="172"/>
        <v>572</v>
      </c>
      <c r="AB428" s="1">
        <f t="shared" si="176"/>
        <v>0</v>
      </c>
      <c r="AC428" s="16">
        <f t="shared" si="179"/>
        <v>1271.9193548387098</v>
      </c>
      <c r="AD428" s="16">
        <f t="shared" si="173"/>
        <v>13298.822580645161</v>
      </c>
    </row>
    <row r="429" spans="1:30" x14ac:dyDescent="0.2">
      <c r="A429" s="10" t="s">
        <v>1326</v>
      </c>
      <c r="B429" s="11" t="e">
        <f t="shared" si="177"/>
        <v>#REF!</v>
      </c>
      <c r="C429" s="11" t="s">
        <v>1069</v>
      </c>
      <c r="D429" s="19" t="s">
        <v>50</v>
      </c>
      <c r="E429" s="19" t="s">
        <v>234</v>
      </c>
      <c r="F429" s="20">
        <v>42990</v>
      </c>
      <c r="G429" s="11">
        <v>26</v>
      </c>
      <c r="H429" s="13">
        <f t="shared" si="167"/>
        <v>4193.5483870967737</v>
      </c>
      <c r="I429" s="13">
        <f t="shared" si="174"/>
        <v>0</v>
      </c>
      <c r="J429" s="13">
        <f t="shared" si="184"/>
        <v>209.67741935483869</v>
      </c>
      <c r="L429" s="13">
        <f t="shared" si="186"/>
        <v>670.96774193548379</v>
      </c>
      <c r="N429" s="13">
        <f t="shared" si="180"/>
        <v>4401.5483870967737</v>
      </c>
      <c r="O429" s="13">
        <v>0</v>
      </c>
      <c r="Q429" s="13">
        <f t="shared" si="165"/>
        <v>9475.7419354838712</v>
      </c>
      <c r="R429" s="12">
        <f t="shared" si="170"/>
        <v>503.22580645161281</v>
      </c>
      <c r="S429" s="12">
        <f t="shared" si="183"/>
        <v>166</v>
      </c>
      <c r="T429" s="21">
        <v>0</v>
      </c>
      <c r="U429" s="13">
        <v>0</v>
      </c>
      <c r="V429" s="13">
        <f t="shared" si="182"/>
        <v>669.22580645161281</v>
      </c>
      <c r="W429" s="13">
        <f t="shared" si="171"/>
        <v>8806.5161290322576</v>
      </c>
      <c r="Y429" s="13">
        <f t="shared" si="175"/>
        <v>8806.5161290322576</v>
      </c>
      <c r="Z429" s="12">
        <f t="shared" si="188"/>
        <v>551.45161290322574</v>
      </c>
      <c r="AA429" s="12">
        <f t="shared" si="172"/>
        <v>451</v>
      </c>
      <c r="AB429" s="1">
        <f t="shared" si="176"/>
        <v>0</v>
      </c>
      <c r="AC429" s="16">
        <f t="shared" si="179"/>
        <v>1002.4516129032257</v>
      </c>
      <c r="AD429" s="16">
        <f t="shared" si="173"/>
        <v>10478.193548387097</v>
      </c>
    </row>
    <row r="430" spans="1:30" x14ac:dyDescent="0.2">
      <c r="A430" s="10" t="s">
        <v>1327</v>
      </c>
      <c r="B430" s="11" t="e">
        <f t="shared" si="177"/>
        <v>#REF!</v>
      </c>
      <c r="C430" s="11" t="s">
        <v>1070</v>
      </c>
      <c r="D430" s="19" t="s">
        <v>50</v>
      </c>
      <c r="E430" s="19" t="s">
        <v>234</v>
      </c>
      <c r="F430" s="20">
        <v>42994</v>
      </c>
      <c r="G430" s="11">
        <v>15</v>
      </c>
      <c r="H430" s="13">
        <f t="shared" si="167"/>
        <v>2419.3548387096771</v>
      </c>
      <c r="I430" s="13">
        <f t="shared" si="174"/>
        <v>0</v>
      </c>
      <c r="J430" s="13">
        <f t="shared" si="184"/>
        <v>120.96774193548386</v>
      </c>
      <c r="L430" s="13">
        <f t="shared" si="186"/>
        <v>387.09677419354836</v>
      </c>
      <c r="N430" s="13">
        <f t="shared" si="180"/>
        <v>2539.3548387096771</v>
      </c>
      <c r="O430" s="13">
        <v>0</v>
      </c>
      <c r="Q430" s="13">
        <f t="shared" ref="Q430:Q457" si="189">SUM(H430:P430)</f>
        <v>5466.7741935483864</v>
      </c>
      <c r="R430" s="12">
        <f t="shared" si="170"/>
        <v>290.32258064516122</v>
      </c>
      <c r="S430" s="12">
        <f t="shared" si="183"/>
        <v>96</v>
      </c>
      <c r="T430" s="21">
        <v>0</v>
      </c>
      <c r="U430" s="13">
        <v>0</v>
      </c>
      <c r="V430" s="13">
        <f t="shared" si="182"/>
        <v>386.32258064516122</v>
      </c>
      <c r="W430" s="13">
        <f t="shared" si="171"/>
        <v>5080.4516129032254</v>
      </c>
      <c r="Y430" s="13">
        <f t="shared" si="175"/>
        <v>5080.4516129032254</v>
      </c>
      <c r="Z430" s="12">
        <f t="shared" si="188"/>
        <v>318.14516129032256</v>
      </c>
      <c r="AA430" s="12">
        <f t="shared" si="172"/>
        <v>260</v>
      </c>
      <c r="AB430" s="1">
        <f t="shared" si="176"/>
        <v>0</v>
      </c>
      <c r="AC430" s="16">
        <f t="shared" si="179"/>
        <v>578.14516129032256</v>
      </c>
      <c r="AD430" s="16">
        <f t="shared" si="173"/>
        <v>6044.9193548387093</v>
      </c>
    </row>
    <row r="431" spans="1:30" x14ac:dyDescent="0.2">
      <c r="A431" s="10" t="s">
        <v>1328</v>
      </c>
      <c r="B431" s="11" t="e">
        <f t="shared" si="177"/>
        <v>#REF!</v>
      </c>
      <c r="C431" s="11" t="s">
        <v>1071</v>
      </c>
      <c r="D431" s="19" t="s">
        <v>50</v>
      </c>
      <c r="E431" s="19" t="s">
        <v>234</v>
      </c>
      <c r="F431" s="20">
        <v>42994</v>
      </c>
      <c r="G431" s="11">
        <v>4</v>
      </c>
      <c r="H431" s="13">
        <f t="shared" si="167"/>
        <v>645.16129032258061</v>
      </c>
      <c r="I431" s="13">
        <f t="shared" si="174"/>
        <v>0</v>
      </c>
      <c r="J431" s="13">
        <f t="shared" si="184"/>
        <v>32.258064516129032</v>
      </c>
      <c r="L431" s="13">
        <f t="shared" si="186"/>
        <v>103.2258064516129</v>
      </c>
      <c r="N431" s="13">
        <f t="shared" si="180"/>
        <v>677.16129032258061</v>
      </c>
      <c r="O431" s="13">
        <v>0</v>
      </c>
      <c r="Q431" s="13">
        <f t="shared" si="189"/>
        <v>1457.8064516129032</v>
      </c>
      <c r="R431" s="12">
        <f t="shared" si="170"/>
        <v>77.419354838709666</v>
      </c>
      <c r="S431" s="12">
        <f t="shared" si="183"/>
        <v>26</v>
      </c>
      <c r="T431" s="21">
        <v>0</v>
      </c>
      <c r="U431" s="13">
        <v>0</v>
      </c>
      <c r="V431" s="13">
        <f t="shared" si="182"/>
        <v>103.41935483870967</v>
      </c>
      <c r="W431" s="13">
        <f t="shared" si="171"/>
        <v>1354.3870967741934</v>
      </c>
      <c r="Y431" s="13">
        <f t="shared" si="175"/>
        <v>1354.3870967741934</v>
      </c>
      <c r="Z431" s="12">
        <f t="shared" si="188"/>
        <v>84.838709677419359</v>
      </c>
      <c r="AA431" s="12">
        <f t="shared" si="172"/>
        <v>70</v>
      </c>
      <c r="AB431" s="1">
        <f t="shared" si="176"/>
        <v>0</v>
      </c>
      <c r="AC431" s="16">
        <f t="shared" si="179"/>
        <v>154.83870967741936</v>
      </c>
      <c r="AD431" s="16">
        <f t="shared" si="173"/>
        <v>1612.6451612903224</v>
      </c>
    </row>
    <row r="432" spans="1:30" x14ac:dyDescent="0.2">
      <c r="A432" s="10" t="s">
        <v>1329</v>
      </c>
      <c r="B432" s="11" t="e">
        <f t="shared" si="177"/>
        <v>#REF!</v>
      </c>
      <c r="C432" s="11" t="s">
        <v>392</v>
      </c>
      <c r="D432" s="19" t="s">
        <v>50</v>
      </c>
      <c r="E432" s="19" t="s">
        <v>234</v>
      </c>
      <c r="F432" s="20">
        <v>42994</v>
      </c>
      <c r="G432" s="11">
        <v>13</v>
      </c>
      <c r="H432" s="13">
        <f t="shared" si="167"/>
        <v>2096.7741935483868</v>
      </c>
      <c r="I432" s="13">
        <f t="shared" si="174"/>
        <v>0</v>
      </c>
      <c r="J432" s="13">
        <f t="shared" si="184"/>
        <v>104.83870967741935</v>
      </c>
      <c r="L432" s="13">
        <f t="shared" si="186"/>
        <v>335.48387096774189</v>
      </c>
      <c r="N432" s="13">
        <f t="shared" si="180"/>
        <v>2200.7741935483868</v>
      </c>
      <c r="O432" s="13">
        <v>0</v>
      </c>
      <c r="Q432" s="13">
        <f t="shared" si="189"/>
        <v>4737.8709677419356</v>
      </c>
      <c r="R432" s="12">
        <f t="shared" si="170"/>
        <v>251.61290322580641</v>
      </c>
      <c r="S432" s="12">
        <f t="shared" si="183"/>
        <v>83</v>
      </c>
      <c r="T432" s="21">
        <v>0</v>
      </c>
      <c r="U432" s="13">
        <v>0</v>
      </c>
      <c r="V432" s="13">
        <f t="shared" si="182"/>
        <v>334.61290322580641</v>
      </c>
      <c r="W432" s="13">
        <f t="shared" si="171"/>
        <v>4403.2580645161288</v>
      </c>
      <c r="Y432" s="13">
        <f t="shared" si="175"/>
        <v>4403.2580645161288</v>
      </c>
      <c r="Z432" s="12">
        <f t="shared" si="188"/>
        <v>275.72580645161287</v>
      </c>
      <c r="AA432" s="12">
        <f t="shared" si="172"/>
        <v>226</v>
      </c>
      <c r="AB432" s="1">
        <f t="shared" si="176"/>
        <v>0</v>
      </c>
      <c r="AC432" s="16">
        <f t="shared" si="179"/>
        <v>501.72580645161287</v>
      </c>
      <c r="AD432" s="16">
        <f t="shared" si="173"/>
        <v>5239.5967741935483</v>
      </c>
    </row>
    <row r="433" spans="1:30" x14ac:dyDescent="0.2">
      <c r="A433" s="10" t="s">
        <v>1330</v>
      </c>
      <c r="B433" s="11" t="e">
        <f t="shared" si="177"/>
        <v>#REF!</v>
      </c>
      <c r="C433" s="11" t="s">
        <v>1072</v>
      </c>
      <c r="D433" s="19" t="s">
        <v>50</v>
      </c>
      <c r="E433" s="19" t="s">
        <v>234</v>
      </c>
      <c r="F433" s="20">
        <v>42991</v>
      </c>
      <c r="G433" s="11">
        <v>33</v>
      </c>
      <c r="H433" s="13">
        <f t="shared" si="167"/>
        <v>5322.5806451612898</v>
      </c>
      <c r="I433" s="13">
        <f t="shared" si="174"/>
        <v>0</v>
      </c>
      <c r="J433" s="13">
        <f t="shared" si="184"/>
        <v>266.12903225806451</v>
      </c>
      <c r="L433" s="13">
        <f t="shared" si="186"/>
        <v>851.61290322580635</v>
      </c>
      <c r="N433" s="13">
        <f t="shared" si="180"/>
        <v>5586.5806451612898</v>
      </c>
      <c r="O433" s="13">
        <v>0</v>
      </c>
      <c r="Q433" s="13">
        <f t="shared" si="189"/>
        <v>12026.903225806451</v>
      </c>
      <c r="R433" s="12">
        <f t="shared" si="170"/>
        <v>638.70967741935476</v>
      </c>
      <c r="S433" s="12">
        <f t="shared" si="183"/>
        <v>211</v>
      </c>
      <c r="T433" s="21">
        <v>0</v>
      </c>
      <c r="U433" s="13">
        <v>0</v>
      </c>
      <c r="V433" s="13">
        <f t="shared" si="182"/>
        <v>849.70967741935476</v>
      </c>
      <c r="W433" s="13">
        <f t="shared" si="171"/>
        <v>11177.193548387097</v>
      </c>
      <c r="Y433" s="13">
        <f t="shared" si="175"/>
        <v>11177.193548387097</v>
      </c>
      <c r="Z433" s="12">
        <f t="shared" si="188"/>
        <v>699.91935483870964</v>
      </c>
      <c r="AA433" s="12">
        <f t="shared" si="172"/>
        <v>572</v>
      </c>
      <c r="AB433" s="1">
        <f t="shared" si="176"/>
        <v>0</v>
      </c>
      <c r="AC433" s="16">
        <f t="shared" si="179"/>
        <v>1271.9193548387098</v>
      </c>
      <c r="AD433" s="16">
        <f t="shared" si="173"/>
        <v>13298.822580645161</v>
      </c>
    </row>
    <row r="434" spans="1:30" x14ac:dyDescent="0.2">
      <c r="A434" s="10" t="s">
        <v>1331</v>
      </c>
      <c r="B434" s="11" t="e">
        <f t="shared" si="177"/>
        <v>#REF!</v>
      </c>
      <c r="C434" s="11" t="s">
        <v>1073</v>
      </c>
      <c r="D434" s="19" t="s">
        <v>50</v>
      </c>
      <c r="E434" s="19" t="s">
        <v>234</v>
      </c>
      <c r="F434" s="20">
        <v>42994</v>
      </c>
      <c r="G434" s="11">
        <v>3</v>
      </c>
      <c r="H434" s="13">
        <f t="shared" si="167"/>
        <v>483.87096774193549</v>
      </c>
      <c r="I434" s="13">
        <f t="shared" si="174"/>
        <v>0</v>
      </c>
      <c r="J434" s="13">
        <f t="shared" si="184"/>
        <v>24.193548387096776</v>
      </c>
      <c r="L434" s="13">
        <f t="shared" si="186"/>
        <v>77.419354838709666</v>
      </c>
      <c r="N434" s="13">
        <f t="shared" si="180"/>
        <v>507.87096774193549</v>
      </c>
      <c r="O434" s="13">
        <v>0</v>
      </c>
      <c r="Q434" s="13">
        <f t="shared" si="189"/>
        <v>1093.3548387096776</v>
      </c>
      <c r="R434" s="12">
        <f t="shared" si="170"/>
        <v>58.064516129032256</v>
      </c>
      <c r="S434" s="12">
        <f t="shared" si="183"/>
        <v>20</v>
      </c>
      <c r="T434" s="21">
        <v>0</v>
      </c>
      <c r="U434" s="13">
        <v>0</v>
      </c>
      <c r="V434" s="13">
        <f t="shared" si="182"/>
        <v>78.064516129032256</v>
      </c>
      <c r="W434" s="13">
        <f t="shared" si="171"/>
        <v>1015.2903225806454</v>
      </c>
      <c r="Y434" s="13">
        <f t="shared" si="175"/>
        <v>1015.2903225806454</v>
      </c>
      <c r="Z434" s="12">
        <f t="shared" si="188"/>
        <v>63.62903225806452</v>
      </c>
      <c r="AA434" s="12">
        <f t="shared" si="172"/>
        <v>52</v>
      </c>
      <c r="AB434" s="1">
        <f t="shared" si="176"/>
        <v>0</v>
      </c>
      <c r="AC434" s="16">
        <f t="shared" si="179"/>
        <v>115.62903225806451</v>
      </c>
      <c r="AD434" s="16">
        <f t="shared" si="173"/>
        <v>1208.983870967742</v>
      </c>
    </row>
    <row r="435" spans="1:30" x14ac:dyDescent="0.2">
      <c r="A435" s="10" t="s">
        <v>1315</v>
      </c>
      <c r="B435" s="11" t="e">
        <f t="shared" si="177"/>
        <v>#REF!</v>
      </c>
      <c r="C435" s="11" t="s">
        <v>505</v>
      </c>
      <c r="D435" s="19" t="s">
        <v>50</v>
      </c>
      <c r="E435" s="19" t="s">
        <v>234</v>
      </c>
      <c r="F435" s="20">
        <v>42994</v>
      </c>
      <c r="G435" s="11">
        <v>35</v>
      </c>
      <c r="H435" s="13">
        <f t="shared" si="167"/>
        <v>5645.1612903225805</v>
      </c>
      <c r="I435" s="13">
        <f t="shared" si="174"/>
        <v>0</v>
      </c>
      <c r="J435" s="13">
        <f t="shared" si="184"/>
        <v>282.25806451612902</v>
      </c>
      <c r="L435" s="13">
        <f t="shared" si="186"/>
        <v>903.22580645161281</v>
      </c>
      <c r="N435" s="13">
        <f t="shared" si="180"/>
        <v>5925.1612903225805</v>
      </c>
      <c r="O435" s="13">
        <v>0</v>
      </c>
      <c r="Q435" s="13">
        <f t="shared" si="189"/>
        <v>12755.806451612902</v>
      </c>
      <c r="R435" s="12">
        <f t="shared" si="170"/>
        <v>677.41935483870964</v>
      </c>
      <c r="S435" s="12">
        <f t="shared" si="183"/>
        <v>224</v>
      </c>
      <c r="T435" s="21">
        <v>0</v>
      </c>
      <c r="U435" s="13">
        <v>0</v>
      </c>
      <c r="V435" s="13">
        <f t="shared" si="182"/>
        <v>901.41935483870964</v>
      </c>
      <c r="W435" s="13">
        <f t="shared" si="171"/>
        <v>11854.387096774191</v>
      </c>
      <c r="Y435" s="13">
        <f t="shared" si="175"/>
        <v>11854.387096774191</v>
      </c>
      <c r="Z435" s="12">
        <f t="shared" si="188"/>
        <v>742.33870967741939</v>
      </c>
      <c r="AA435" s="12">
        <f t="shared" si="172"/>
        <v>606</v>
      </c>
      <c r="AB435" s="1">
        <f t="shared" si="176"/>
        <v>0</v>
      </c>
      <c r="AC435" s="16">
        <f t="shared" si="179"/>
        <v>1348.3387096774195</v>
      </c>
      <c r="AD435" s="16">
        <f t="shared" si="173"/>
        <v>14104.145161290322</v>
      </c>
    </row>
    <row r="436" spans="1:30" x14ac:dyDescent="0.2">
      <c r="A436" s="10" t="s">
        <v>1332</v>
      </c>
      <c r="B436" s="11" t="e">
        <f t="shared" si="177"/>
        <v>#REF!</v>
      </c>
      <c r="C436" s="11" t="s">
        <v>1074</v>
      </c>
      <c r="D436" s="19" t="s">
        <v>50</v>
      </c>
      <c r="E436" s="19" t="s">
        <v>234</v>
      </c>
      <c r="F436" s="20">
        <v>42994</v>
      </c>
      <c r="G436" s="11">
        <v>1</v>
      </c>
      <c r="H436" s="13">
        <f t="shared" si="167"/>
        <v>161.29032258064515</v>
      </c>
      <c r="I436" s="13">
        <f t="shared" si="174"/>
        <v>0</v>
      </c>
      <c r="J436" s="13">
        <f t="shared" si="184"/>
        <v>8.064516129032258</v>
      </c>
      <c r="L436" s="13">
        <f t="shared" si="186"/>
        <v>25.806451612903224</v>
      </c>
      <c r="N436" s="13">
        <f t="shared" si="180"/>
        <v>169.29032258064515</v>
      </c>
      <c r="O436" s="13">
        <v>0</v>
      </c>
      <c r="Q436" s="13">
        <f t="shared" si="189"/>
        <v>364.45161290322579</v>
      </c>
      <c r="R436" s="12">
        <f t="shared" si="170"/>
        <v>19.354838709677416</v>
      </c>
      <c r="S436" s="12">
        <f t="shared" si="183"/>
        <v>7</v>
      </c>
      <c r="T436" s="21">
        <v>0</v>
      </c>
      <c r="U436" s="13">
        <v>0</v>
      </c>
      <c r="V436" s="13">
        <f t="shared" si="182"/>
        <v>26.354838709677416</v>
      </c>
      <c r="W436" s="13">
        <f t="shared" si="171"/>
        <v>338.09677419354836</v>
      </c>
      <c r="Y436" s="13">
        <f t="shared" si="175"/>
        <v>338.09677419354836</v>
      </c>
      <c r="Z436" s="12">
        <f t="shared" si="188"/>
        <v>21.20967741935484</v>
      </c>
      <c r="AA436" s="12">
        <f t="shared" si="172"/>
        <v>18</v>
      </c>
      <c r="AB436" s="1">
        <f t="shared" si="176"/>
        <v>0</v>
      </c>
      <c r="AC436" s="16">
        <f t="shared" si="179"/>
        <v>39.20967741935484</v>
      </c>
      <c r="AD436" s="16">
        <f t="shared" si="173"/>
        <v>403.66129032258061</v>
      </c>
    </row>
    <row r="437" spans="1:30" x14ac:dyDescent="0.2">
      <c r="A437" s="10" t="s">
        <v>1333</v>
      </c>
      <c r="B437" s="11" t="e">
        <f t="shared" si="177"/>
        <v>#REF!</v>
      </c>
      <c r="C437" s="11" t="s">
        <v>1075</v>
      </c>
      <c r="D437" s="19" t="s">
        <v>50</v>
      </c>
      <c r="E437" s="19" t="s">
        <v>234</v>
      </c>
      <c r="F437" s="20">
        <v>42994</v>
      </c>
      <c r="G437" s="11">
        <v>26</v>
      </c>
      <c r="H437" s="13">
        <f t="shared" si="167"/>
        <v>4193.5483870967737</v>
      </c>
      <c r="I437" s="13">
        <f t="shared" si="174"/>
        <v>0</v>
      </c>
      <c r="J437" s="13">
        <f t="shared" si="184"/>
        <v>209.67741935483869</v>
      </c>
      <c r="L437" s="13">
        <f t="shared" si="186"/>
        <v>670.96774193548379</v>
      </c>
      <c r="N437" s="13">
        <f t="shared" si="180"/>
        <v>4401.5483870967737</v>
      </c>
      <c r="O437" s="13">
        <v>0</v>
      </c>
      <c r="Q437" s="13">
        <f t="shared" si="189"/>
        <v>9475.7419354838712</v>
      </c>
      <c r="R437" s="12">
        <f t="shared" si="170"/>
        <v>503.22580645161281</v>
      </c>
      <c r="S437" s="12">
        <f t="shared" si="183"/>
        <v>166</v>
      </c>
      <c r="T437" s="21">
        <v>0</v>
      </c>
      <c r="U437" s="13">
        <v>0</v>
      </c>
      <c r="V437" s="13">
        <f t="shared" si="182"/>
        <v>669.22580645161281</v>
      </c>
      <c r="W437" s="13">
        <f t="shared" si="171"/>
        <v>8806.5161290322576</v>
      </c>
      <c r="Y437" s="13">
        <f t="shared" si="175"/>
        <v>8806.5161290322576</v>
      </c>
      <c r="Z437" s="12">
        <f t="shared" si="188"/>
        <v>551.45161290322574</v>
      </c>
      <c r="AA437" s="12">
        <f t="shared" si="172"/>
        <v>451</v>
      </c>
      <c r="AB437" s="1">
        <f t="shared" si="176"/>
        <v>0</v>
      </c>
      <c r="AC437" s="16">
        <f t="shared" si="179"/>
        <v>1002.4516129032257</v>
      </c>
      <c r="AD437" s="16">
        <f t="shared" si="173"/>
        <v>10478.193548387097</v>
      </c>
    </row>
    <row r="438" spans="1:30" x14ac:dyDescent="0.2">
      <c r="A438" s="10" t="s">
        <v>1334</v>
      </c>
      <c r="B438" s="11" t="e">
        <f t="shared" si="177"/>
        <v>#REF!</v>
      </c>
      <c r="C438" s="11" t="s">
        <v>1076</v>
      </c>
      <c r="D438" s="19" t="s">
        <v>50</v>
      </c>
      <c r="E438" s="19" t="s">
        <v>234</v>
      </c>
      <c r="F438" s="20">
        <v>42994</v>
      </c>
      <c r="G438" s="11">
        <v>5</v>
      </c>
      <c r="H438" s="13">
        <f t="shared" si="167"/>
        <v>806.45161290322574</v>
      </c>
      <c r="I438" s="13">
        <f t="shared" si="174"/>
        <v>0</v>
      </c>
      <c r="J438" s="13">
        <f t="shared" si="184"/>
        <v>40.322580645161288</v>
      </c>
      <c r="L438" s="13">
        <f t="shared" si="186"/>
        <v>129.03225806451613</v>
      </c>
      <c r="N438" s="13">
        <f t="shared" si="180"/>
        <v>846.45161290322574</v>
      </c>
      <c r="O438" s="13">
        <v>0</v>
      </c>
      <c r="Q438" s="13">
        <f t="shared" si="189"/>
        <v>1822.2580645161288</v>
      </c>
      <c r="R438" s="12">
        <f t="shared" si="170"/>
        <v>96.774193548387089</v>
      </c>
      <c r="S438" s="12">
        <f t="shared" si="183"/>
        <v>32</v>
      </c>
      <c r="T438" s="21">
        <v>0</v>
      </c>
      <c r="U438" s="13">
        <v>0</v>
      </c>
      <c r="V438" s="13">
        <f t="shared" si="182"/>
        <v>128.77419354838707</v>
      </c>
      <c r="W438" s="13">
        <f t="shared" si="171"/>
        <v>1693.4838709677417</v>
      </c>
      <c r="Y438" s="13">
        <f t="shared" si="175"/>
        <v>1693.4838709677417</v>
      </c>
      <c r="Z438" s="12">
        <f t="shared" si="188"/>
        <v>106.04838709677419</v>
      </c>
      <c r="AA438" s="12">
        <f t="shared" si="172"/>
        <v>87</v>
      </c>
      <c r="AB438" s="1">
        <f t="shared" si="176"/>
        <v>0</v>
      </c>
      <c r="AC438" s="16">
        <f t="shared" si="179"/>
        <v>193.04838709677421</v>
      </c>
      <c r="AD438" s="16">
        <f t="shared" si="173"/>
        <v>2015.3064516129029</v>
      </c>
    </row>
    <row r="439" spans="1:30" x14ac:dyDescent="0.2">
      <c r="A439" s="10" t="s">
        <v>1335</v>
      </c>
      <c r="B439" s="11" t="e">
        <f t="shared" si="177"/>
        <v>#REF!</v>
      </c>
      <c r="C439" s="11" t="s">
        <v>1077</v>
      </c>
      <c r="D439" s="19" t="s">
        <v>50</v>
      </c>
      <c r="E439" s="19" t="s">
        <v>234</v>
      </c>
      <c r="F439" s="20">
        <v>42994</v>
      </c>
      <c r="G439" s="11">
        <v>5</v>
      </c>
      <c r="H439" s="13">
        <f t="shared" si="167"/>
        <v>806.45161290322574</v>
      </c>
      <c r="I439" s="13">
        <f t="shared" si="174"/>
        <v>0</v>
      </c>
      <c r="J439" s="13">
        <f t="shared" si="184"/>
        <v>40.322580645161288</v>
      </c>
      <c r="L439" s="13">
        <f t="shared" si="186"/>
        <v>129.03225806451613</v>
      </c>
      <c r="N439" s="13">
        <f t="shared" si="180"/>
        <v>846.45161290322574</v>
      </c>
      <c r="O439" s="13">
        <v>0</v>
      </c>
      <c r="Q439" s="13">
        <f t="shared" si="189"/>
        <v>1822.2580645161288</v>
      </c>
      <c r="R439" s="12">
        <f t="shared" si="170"/>
        <v>96.774193548387089</v>
      </c>
      <c r="S439" s="12">
        <f t="shared" si="183"/>
        <v>32</v>
      </c>
      <c r="T439" s="21">
        <v>0</v>
      </c>
      <c r="U439" s="13">
        <v>0</v>
      </c>
      <c r="V439" s="13">
        <f t="shared" si="182"/>
        <v>128.77419354838707</v>
      </c>
      <c r="W439" s="13">
        <f t="shared" si="171"/>
        <v>1693.4838709677417</v>
      </c>
      <c r="Y439" s="13">
        <f t="shared" si="175"/>
        <v>1693.4838709677417</v>
      </c>
      <c r="Z439" s="12">
        <f t="shared" si="188"/>
        <v>106.04838709677419</v>
      </c>
      <c r="AA439" s="12">
        <f t="shared" si="172"/>
        <v>87</v>
      </c>
      <c r="AB439" s="1">
        <f t="shared" si="176"/>
        <v>0</v>
      </c>
      <c r="AC439" s="16">
        <f t="shared" si="179"/>
        <v>193.04838709677421</v>
      </c>
      <c r="AD439" s="16">
        <f t="shared" si="173"/>
        <v>2015.3064516129029</v>
      </c>
    </row>
    <row r="440" spans="1:30" x14ac:dyDescent="0.2">
      <c r="A440" s="10" t="s">
        <v>1336</v>
      </c>
      <c r="B440" s="11" t="e">
        <f>#REF!+1</f>
        <v>#REF!</v>
      </c>
      <c r="C440" s="11" t="s">
        <v>1051</v>
      </c>
      <c r="D440" s="19" t="s">
        <v>50</v>
      </c>
      <c r="E440" s="19" t="s">
        <v>234</v>
      </c>
      <c r="F440" s="20">
        <v>42994</v>
      </c>
      <c r="G440" s="11">
        <v>2</v>
      </c>
      <c r="H440" s="13">
        <f t="shared" si="167"/>
        <v>322.58064516129031</v>
      </c>
      <c r="I440" s="13">
        <f t="shared" si="174"/>
        <v>0</v>
      </c>
      <c r="J440" s="13">
        <f t="shared" si="184"/>
        <v>16.129032258064516</v>
      </c>
      <c r="L440" s="13">
        <f t="shared" si="186"/>
        <v>51.612903225806448</v>
      </c>
      <c r="N440" s="13">
        <f t="shared" si="180"/>
        <v>338.58064516129031</v>
      </c>
      <c r="O440" s="13">
        <v>0</v>
      </c>
      <c r="Q440" s="13">
        <f t="shared" si="189"/>
        <v>728.90322580645159</v>
      </c>
      <c r="R440" s="12">
        <f t="shared" si="170"/>
        <v>38.709677419354833</v>
      </c>
      <c r="S440" s="12">
        <f t="shared" si="183"/>
        <v>13</v>
      </c>
      <c r="T440" s="21">
        <v>0</v>
      </c>
      <c r="U440" s="13">
        <v>0</v>
      </c>
      <c r="V440" s="13">
        <f t="shared" si="182"/>
        <v>51.709677419354833</v>
      </c>
      <c r="W440" s="13">
        <f t="shared" si="171"/>
        <v>677.19354838709671</v>
      </c>
      <c r="Y440" s="13">
        <f t="shared" si="175"/>
        <v>677.19354838709671</v>
      </c>
      <c r="Z440" s="12">
        <f t="shared" si="188"/>
        <v>42.41935483870968</v>
      </c>
      <c r="AA440" s="12">
        <f t="shared" si="172"/>
        <v>35</v>
      </c>
      <c r="AB440" s="1">
        <f t="shared" si="176"/>
        <v>0</v>
      </c>
      <c r="AC440" s="16">
        <f t="shared" si="179"/>
        <v>77.41935483870968</v>
      </c>
      <c r="AD440" s="16">
        <f t="shared" si="173"/>
        <v>806.32258064516122</v>
      </c>
    </row>
    <row r="441" spans="1:30" x14ac:dyDescent="0.2">
      <c r="A441" s="10" t="s">
        <v>1337</v>
      </c>
      <c r="B441" s="11" t="e">
        <f t="shared" si="177"/>
        <v>#REF!</v>
      </c>
      <c r="C441" s="11" t="s">
        <v>1078</v>
      </c>
      <c r="D441" s="19" t="s">
        <v>50</v>
      </c>
      <c r="E441" s="19" t="s">
        <v>234</v>
      </c>
      <c r="F441" s="20">
        <v>42997</v>
      </c>
      <c r="G441" s="11">
        <v>5</v>
      </c>
      <c r="H441" s="13">
        <f t="shared" si="167"/>
        <v>806.45161290322574</v>
      </c>
      <c r="I441" s="13">
        <f t="shared" si="174"/>
        <v>0</v>
      </c>
      <c r="J441" s="13">
        <f t="shared" si="184"/>
        <v>40.322580645161288</v>
      </c>
      <c r="L441" s="13">
        <f t="shared" si="186"/>
        <v>129.03225806451613</v>
      </c>
      <c r="N441" s="13">
        <f t="shared" si="180"/>
        <v>846.45161290322574</v>
      </c>
      <c r="O441" s="13">
        <v>0</v>
      </c>
      <c r="Q441" s="13">
        <f t="shared" si="189"/>
        <v>1822.2580645161288</v>
      </c>
      <c r="R441" s="12">
        <f t="shared" si="170"/>
        <v>96.774193548387089</v>
      </c>
      <c r="S441" s="12">
        <f t="shared" si="183"/>
        <v>32</v>
      </c>
      <c r="T441" s="21">
        <v>0</v>
      </c>
      <c r="U441" s="13">
        <v>0</v>
      </c>
      <c r="V441" s="13">
        <f t="shared" si="182"/>
        <v>128.77419354838707</v>
      </c>
      <c r="W441" s="13">
        <f t="shared" si="171"/>
        <v>1693.4838709677417</v>
      </c>
      <c r="Y441" s="13">
        <f t="shared" si="175"/>
        <v>1693.4838709677417</v>
      </c>
      <c r="Z441" s="12">
        <f t="shared" si="188"/>
        <v>106.04838709677419</v>
      </c>
      <c r="AA441" s="12">
        <f t="shared" si="172"/>
        <v>87</v>
      </c>
      <c r="AB441" s="1">
        <f t="shared" si="176"/>
        <v>0</v>
      </c>
      <c r="AC441" s="16">
        <f t="shared" si="179"/>
        <v>193.04838709677421</v>
      </c>
      <c r="AD441" s="16">
        <f t="shared" si="173"/>
        <v>2015.3064516129029</v>
      </c>
    </row>
    <row r="442" spans="1:30" x14ac:dyDescent="0.2">
      <c r="A442" s="10" t="s">
        <v>1338</v>
      </c>
      <c r="B442" s="11" t="e">
        <f t="shared" si="177"/>
        <v>#REF!</v>
      </c>
      <c r="C442" s="11" t="s">
        <v>1079</v>
      </c>
      <c r="D442" s="19" t="s">
        <v>50</v>
      </c>
      <c r="E442" s="19" t="s">
        <v>234</v>
      </c>
      <c r="F442" s="20">
        <v>42997</v>
      </c>
      <c r="G442" s="11">
        <v>4</v>
      </c>
      <c r="H442" s="13">
        <f t="shared" si="167"/>
        <v>645.16129032258061</v>
      </c>
      <c r="I442" s="13">
        <f t="shared" si="174"/>
        <v>0</v>
      </c>
      <c r="J442" s="13">
        <f t="shared" si="184"/>
        <v>32.258064516129032</v>
      </c>
      <c r="L442" s="13">
        <f t="shared" si="186"/>
        <v>103.2258064516129</v>
      </c>
      <c r="N442" s="13">
        <f t="shared" si="180"/>
        <v>677.16129032258061</v>
      </c>
      <c r="O442" s="13">
        <v>0</v>
      </c>
      <c r="Q442" s="13">
        <f t="shared" si="189"/>
        <v>1457.8064516129032</v>
      </c>
      <c r="R442" s="12">
        <f t="shared" si="170"/>
        <v>77.419354838709666</v>
      </c>
      <c r="S442" s="12">
        <f t="shared" si="183"/>
        <v>26</v>
      </c>
      <c r="T442" s="21">
        <v>0</v>
      </c>
      <c r="U442" s="13">
        <v>0</v>
      </c>
      <c r="V442" s="13">
        <f t="shared" si="182"/>
        <v>103.41935483870967</v>
      </c>
      <c r="W442" s="13">
        <f t="shared" si="171"/>
        <v>1354.3870967741934</v>
      </c>
      <c r="Y442" s="13">
        <f t="shared" si="175"/>
        <v>1354.3870967741934</v>
      </c>
      <c r="Z442" s="12">
        <f t="shared" si="188"/>
        <v>84.838709677419359</v>
      </c>
      <c r="AA442" s="12">
        <f t="shared" si="172"/>
        <v>70</v>
      </c>
      <c r="AB442" s="1">
        <f t="shared" si="176"/>
        <v>0</v>
      </c>
      <c r="AC442" s="16">
        <f t="shared" si="179"/>
        <v>154.83870967741936</v>
      </c>
      <c r="AD442" s="16">
        <f t="shared" si="173"/>
        <v>1612.6451612903224</v>
      </c>
    </row>
    <row r="443" spans="1:30" x14ac:dyDescent="0.2">
      <c r="A443" s="10" t="s">
        <v>1339</v>
      </c>
      <c r="B443" s="11" t="e">
        <f t="shared" si="177"/>
        <v>#REF!</v>
      </c>
      <c r="C443" s="11" t="s">
        <v>84</v>
      </c>
      <c r="D443" s="19" t="s">
        <v>50</v>
      </c>
      <c r="E443" s="19" t="s">
        <v>234</v>
      </c>
      <c r="F443" s="20">
        <v>42998</v>
      </c>
      <c r="G443" s="11">
        <v>22.5</v>
      </c>
      <c r="H443" s="13">
        <f t="shared" si="167"/>
        <v>3629.0322580645161</v>
      </c>
      <c r="I443" s="13">
        <f t="shared" si="174"/>
        <v>0</v>
      </c>
      <c r="J443" s="13">
        <f t="shared" si="184"/>
        <v>181.45161290322582</v>
      </c>
      <c r="L443" s="13">
        <f t="shared" si="186"/>
        <v>580.64516129032256</v>
      </c>
      <c r="N443" s="13">
        <f t="shared" si="180"/>
        <v>3809.0322580645161</v>
      </c>
      <c r="O443" s="13">
        <v>0</v>
      </c>
      <c r="Q443" s="13">
        <f t="shared" si="189"/>
        <v>8200.1612903225796</v>
      </c>
      <c r="R443" s="12">
        <f t="shared" si="170"/>
        <v>435.48387096774189</v>
      </c>
      <c r="S443" s="12">
        <f t="shared" si="183"/>
        <v>144</v>
      </c>
      <c r="T443" s="21">
        <v>0</v>
      </c>
      <c r="U443" s="13">
        <v>0</v>
      </c>
      <c r="V443" s="13">
        <f t="shared" si="182"/>
        <v>579.48387096774195</v>
      </c>
      <c r="W443" s="13">
        <f t="shared" si="171"/>
        <v>7620.6774193548372</v>
      </c>
      <c r="Y443" s="13">
        <f t="shared" si="175"/>
        <v>7620.6774193548372</v>
      </c>
      <c r="Z443" s="12">
        <f t="shared" si="188"/>
        <v>477.2177419354839</v>
      </c>
      <c r="AA443" s="12">
        <f t="shared" si="172"/>
        <v>390</v>
      </c>
      <c r="AB443" s="1">
        <f t="shared" si="176"/>
        <v>0</v>
      </c>
      <c r="AC443" s="16">
        <f t="shared" si="179"/>
        <v>867.2177419354839</v>
      </c>
      <c r="AD443" s="16">
        <f t="shared" si="173"/>
        <v>9067.3790322580644</v>
      </c>
    </row>
    <row r="444" spans="1:30" x14ac:dyDescent="0.2">
      <c r="A444" s="10" t="s">
        <v>1340</v>
      </c>
      <c r="B444" s="11" t="e">
        <f t="shared" si="177"/>
        <v>#REF!</v>
      </c>
      <c r="C444" s="11" t="s">
        <v>1080</v>
      </c>
      <c r="D444" s="19" t="s">
        <v>50</v>
      </c>
      <c r="E444" s="19" t="s">
        <v>234</v>
      </c>
      <c r="F444" s="20">
        <v>43006</v>
      </c>
      <c r="G444" s="11">
        <v>10</v>
      </c>
      <c r="H444" s="13">
        <f t="shared" si="167"/>
        <v>1612.9032258064515</v>
      </c>
      <c r="I444" s="13">
        <f t="shared" si="174"/>
        <v>0</v>
      </c>
      <c r="J444" s="13">
        <f t="shared" si="184"/>
        <v>80.645161290322577</v>
      </c>
      <c r="L444" s="13">
        <f t="shared" si="186"/>
        <v>258.06451612903226</v>
      </c>
      <c r="N444" s="13">
        <f t="shared" si="180"/>
        <v>1692.9032258064515</v>
      </c>
      <c r="O444" s="13">
        <v>0</v>
      </c>
      <c r="Q444" s="13">
        <f t="shared" si="189"/>
        <v>3644.5161290322576</v>
      </c>
      <c r="R444" s="12">
        <f t="shared" si="170"/>
        <v>193.54838709677418</v>
      </c>
      <c r="S444" s="12">
        <f t="shared" si="183"/>
        <v>64</v>
      </c>
      <c r="T444" s="21">
        <v>0</v>
      </c>
      <c r="U444" s="13">
        <v>0</v>
      </c>
      <c r="V444" s="13">
        <f t="shared" si="182"/>
        <v>257.54838709677415</v>
      </c>
      <c r="W444" s="13">
        <f t="shared" si="171"/>
        <v>3386.9677419354834</v>
      </c>
      <c r="Y444" s="13">
        <f t="shared" si="175"/>
        <v>3386.9677419354834</v>
      </c>
      <c r="Z444" s="12">
        <f t="shared" si="188"/>
        <v>212.09677419354838</v>
      </c>
      <c r="AA444" s="12">
        <f t="shared" si="172"/>
        <v>174</v>
      </c>
      <c r="AB444" s="1">
        <f t="shared" si="176"/>
        <v>0</v>
      </c>
      <c r="AC444" s="16">
        <f t="shared" si="179"/>
        <v>386.09677419354841</v>
      </c>
      <c r="AD444" s="16">
        <f t="shared" si="173"/>
        <v>4030.6129032258059</v>
      </c>
    </row>
    <row r="445" spans="1:30" x14ac:dyDescent="0.2">
      <c r="A445" s="10" t="s">
        <v>1341</v>
      </c>
      <c r="B445" s="11" t="e">
        <f t="shared" si="177"/>
        <v>#REF!</v>
      </c>
      <c r="C445" s="11" t="s">
        <v>1081</v>
      </c>
      <c r="D445" s="19" t="s">
        <v>50</v>
      </c>
      <c r="E445" s="19" t="s">
        <v>234</v>
      </c>
      <c r="F445" s="20">
        <v>43005</v>
      </c>
      <c r="G445" s="11">
        <v>32</v>
      </c>
      <c r="H445" s="13">
        <f t="shared" ref="H445:H458" si="190">(5000/G$3)*G445</f>
        <v>5161.2903225806449</v>
      </c>
      <c r="I445" s="13">
        <f t="shared" si="174"/>
        <v>0</v>
      </c>
      <c r="J445" s="13">
        <f t="shared" si="184"/>
        <v>258.06451612903226</v>
      </c>
      <c r="L445" s="13">
        <f t="shared" si="186"/>
        <v>825.80645161290317</v>
      </c>
      <c r="N445" s="13">
        <f t="shared" si="180"/>
        <v>5417.2903225806449</v>
      </c>
      <c r="O445" s="13">
        <v>0</v>
      </c>
      <c r="Q445" s="13">
        <f t="shared" si="189"/>
        <v>11662.451612903225</v>
      </c>
      <c r="R445" s="12">
        <f t="shared" si="170"/>
        <v>619.35483870967732</v>
      </c>
      <c r="S445" s="12">
        <f t="shared" si="183"/>
        <v>205</v>
      </c>
      <c r="T445" s="21">
        <v>0</v>
      </c>
      <c r="U445" s="13">
        <v>0</v>
      </c>
      <c r="V445" s="13">
        <f t="shared" si="182"/>
        <v>824.35483870967732</v>
      </c>
      <c r="W445" s="13">
        <f t="shared" si="171"/>
        <v>10838.096774193547</v>
      </c>
      <c r="Y445" s="13">
        <f t="shared" si="175"/>
        <v>10838.096774193547</v>
      </c>
      <c r="Z445" s="12">
        <f t="shared" si="188"/>
        <v>678.70967741935488</v>
      </c>
      <c r="AA445" s="12">
        <f t="shared" si="172"/>
        <v>554</v>
      </c>
      <c r="AB445" s="1">
        <f t="shared" si="176"/>
        <v>0</v>
      </c>
      <c r="AC445" s="16">
        <f t="shared" si="179"/>
        <v>1232.7096774193549</v>
      </c>
      <c r="AD445" s="16">
        <f t="shared" si="173"/>
        <v>12895.16129032258</v>
      </c>
    </row>
    <row r="446" spans="1:30" x14ac:dyDescent="0.2">
      <c r="A446" s="10" t="s">
        <v>1342</v>
      </c>
      <c r="B446" s="11" t="e">
        <f t="shared" si="177"/>
        <v>#REF!</v>
      </c>
      <c r="C446" s="11" t="s">
        <v>1082</v>
      </c>
      <c r="D446" s="19" t="s">
        <v>50</v>
      </c>
      <c r="E446" s="19" t="s">
        <v>234</v>
      </c>
      <c r="F446" s="20">
        <v>43006</v>
      </c>
      <c r="G446" s="11">
        <v>34</v>
      </c>
      <c r="H446" s="13">
        <f t="shared" si="190"/>
        <v>5483.8709677419356</v>
      </c>
      <c r="I446" s="13">
        <f t="shared" si="174"/>
        <v>0</v>
      </c>
      <c r="J446" s="13">
        <f t="shared" si="184"/>
        <v>274.19354838709677</v>
      </c>
      <c r="L446" s="13">
        <f t="shared" si="186"/>
        <v>877.41935483870964</v>
      </c>
      <c r="N446" s="13">
        <f t="shared" si="180"/>
        <v>5755.8709677419356</v>
      </c>
      <c r="O446" s="13">
        <v>0</v>
      </c>
      <c r="Q446" s="13">
        <f t="shared" si="189"/>
        <v>12391.354838709678</v>
      </c>
      <c r="R446" s="12">
        <f t="shared" si="170"/>
        <v>658.0645161290322</v>
      </c>
      <c r="S446" s="12">
        <f t="shared" si="183"/>
        <v>217</v>
      </c>
      <c r="T446" s="21">
        <v>0</v>
      </c>
      <c r="U446" s="13">
        <v>0</v>
      </c>
      <c r="V446" s="13">
        <f t="shared" si="182"/>
        <v>875.0645161290322</v>
      </c>
      <c r="W446" s="13">
        <f t="shared" si="171"/>
        <v>11516.290322580646</v>
      </c>
      <c r="Y446" s="13">
        <f t="shared" si="175"/>
        <v>11516.290322580646</v>
      </c>
      <c r="Z446" s="12">
        <f t="shared" si="188"/>
        <v>721.12903225806451</v>
      </c>
      <c r="AA446" s="12">
        <f t="shared" si="172"/>
        <v>589</v>
      </c>
      <c r="AB446" s="1">
        <f t="shared" si="176"/>
        <v>0</v>
      </c>
      <c r="AC446" s="16">
        <f t="shared" si="179"/>
        <v>1310.1290322580644</v>
      </c>
      <c r="AD446" s="16">
        <f t="shared" si="173"/>
        <v>13701.483870967742</v>
      </c>
    </row>
    <row r="447" spans="1:30" x14ac:dyDescent="0.2">
      <c r="A447" s="10" t="s">
        <v>1343</v>
      </c>
      <c r="B447" s="11" t="e">
        <f t="shared" si="177"/>
        <v>#REF!</v>
      </c>
      <c r="C447" s="11" t="s">
        <v>1083</v>
      </c>
      <c r="D447" s="19" t="s">
        <v>50</v>
      </c>
      <c r="E447" s="19" t="s">
        <v>234</v>
      </c>
      <c r="F447" s="20">
        <v>43006</v>
      </c>
      <c r="G447" s="11">
        <v>3</v>
      </c>
      <c r="H447" s="13">
        <f t="shared" si="190"/>
        <v>483.87096774193549</v>
      </c>
      <c r="I447" s="13">
        <f t="shared" si="174"/>
        <v>0</v>
      </c>
      <c r="J447" s="13">
        <f t="shared" si="184"/>
        <v>24.193548387096776</v>
      </c>
      <c r="L447" s="13">
        <f t="shared" si="186"/>
        <v>77.419354838709666</v>
      </c>
      <c r="N447" s="13">
        <f t="shared" si="180"/>
        <v>507.87096774193549</v>
      </c>
      <c r="O447" s="13">
        <v>0</v>
      </c>
      <c r="Q447" s="13">
        <f t="shared" si="189"/>
        <v>1093.3548387096776</v>
      </c>
      <c r="R447" s="12">
        <f t="shared" si="170"/>
        <v>58.064516129032256</v>
      </c>
      <c r="S447" s="12">
        <f t="shared" si="183"/>
        <v>20</v>
      </c>
      <c r="T447" s="21">
        <v>0</v>
      </c>
      <c r="U447" s="13">
        <v>0</v>
      </c>
      <c r="V447" s="13">
        <f t="shared" si="182"/>
        <v>78.064516129032256</v>
      </c>
      <c r="W447" s="13">
        <f t="shared" si="171"/>
        <v>1015.2903225806454</v>
      </c>
      <c r="Y447" s="13">
        <f t="shared" si="175"/>
        <v>1015.2903225806454</v>
      </c>
      <c r="Z447" s="12">
        <f t="shared" si="188"/>
        <v>63.62903225806452</v>
      </c>
      <c r="AA447" s="12">
        <f t="shared" si="172"/>
        <v>52</v>
      </c>
      <c r="AB447" s="1">
        <f t="shared" si="176"/>
        <v>0</v>
      </c>
      <c r="AC447" s="16">
        <f t="shared" si="179"/>
        <v>115.62903225806451</v>
      </c>
      <c r="AD447" s="16">
        <f t="shared" si="173"/>
        <v>1208.983870967742</v>
      </c>
    </row>
    <row r="448" spans="1:30" x14ac:dyDescent="0.2">
      <c r="A448" s="10" t="s">
        <v>1344</v>
      </c>
      <c r="B448" s="11" t="e">
        <f t="shared" si="177"/>
        <v>#REF!</v>
      </c>
      <c r="C448" s="11" t="s">
        <v>384</v>
      </c>
      <c r="D448" s="19" t="s">
        <v>50</v>
      </c>
      <c r="E448" s="19" t="s">
        <v>234</v>
      </c>
      <c r="F448" s="20">
        <v>43006</v>
      </c>
      <c r="G448" s="11">
        <v>14</v>
      </c>
      <c r="H448" s="13">
        <f t="shared" si="190"/>
        <v>2258.0645161290322</v>
      </c>
      <c r="I448" s="13">
        <f t="shared" si="174"/>
        <v>0</v>
      </c>
      <c r="J448" s="13">
        <f t="shared" si="184"/>
        <v>112.90322580645162</v>
      </c>
      <c r="L448" s="13">
        <f t="shared" si="186"/>
        <v>361.29032258064512</v>
      </c>
      <c r="N448" s="13">
        <f t="shared" si="180"/>
        <v>2370.0645161290322</v>
      </c>
      <c r="O448" s="13">
        <v>0</v>
      </c>
      <c r="Q448" s="13">
        <f t="shared" si="189"/>
        <v>5102.322580645161</v>
      </c>
      <c r="R448" s="12">
        <f t="shared" si="170"/>
        <v>270.96774193548384</v>
      </c>
      <c r="S448" s="12">
        <f t="shared" si="183"/>
        <v>90</v>
      </c>
      <c r="T448" s="21">
        <v>0</v>
      </c>
      <c r="U448" s="13">
        <v>0</v>
      </c>
      <c r="V448" s="13">
        <f t="shared" si="182"/>
        <v>360.96774193548384</v>
      </c>
      <c r="W448" s="13">
        <f t="shared" si="171"/>
        <v>4741.3548387096771</v>
      </c>
      <c r="Y448" s="13">
        <f t="shared" si="175"/>
        <v>4741.3548387096771</v>
      </c>
      <c r="Z448" s="12">
        <f t="shared" si="188"/>
        <v>296.93548387096774</v>
      </c>
      <c r="AA448" s="12">
        <f t="shared" si="172"/>
        <v>243</v>
      </c>
      <c r="AB448" s="1">
        <f t="shared" si="176"/>
        <v>0</v>
      </c>
      <c r="AC448" s="16">
        <f t="shared" si="179"/>
        <v>539.9354838709678</v>
      </c>
      <c r="AD448" s="16">
        <f t="shared" si="173"/>
        <v>5642.2580645161288</v>
      </c>
    </row>
    <row r="449" spans="1:32" x14ac:dyDescent="0.2">
      <c r="A449" s="10" t="s">
        <v>623</v>
      </c>
      <c r="B449" s="11" t="e">
        <f t="shared" si="177"/>
        <v>#REF!</v>
      </c>
      <c r="C449" s="11" t="s">
        <v>387</v>
      </c>
      <c r="D449" s="19" t="s">
        <v>50</v>
      </c>
      <c r="E449" s="19" t="s">
        <v>707</v>
      </c>
      <c r="F449" s="20">
        <v>42856</v>
      </c>
      <c r="G449" s="11">
        <v>24</v>
      </c>
      <c r="H449" s="13">
        <f t="shared" si="190"/>
        <v>3870.9677419354839</v>
      </c>
      <c r="I449" s="13">
        <f t="shared" si="174"/>
        <v>0</v>
      </c>
      <c r="J449" s="13">
        <f t="shared" si="184"/>
        <v>193.54838709677421</v>
      </c>
      <c r="L449" s="13">
        <f t="shared" si="186"/>
        <v>619.35483870967732</v>
      </c>
      <c r="N449" s="13">
        <f>((1950+1441-178+1017+0)/G$3)*G449</f>
        <v>3274.838709677419</v>
      </c>
      <c r="O449" s="13">
        <v>0</v>
      </c>
      <c r="Q449" s="13">
        <f t="shared" si="189"/>
        <v>7958.7096774193542</v>
      </c>
      <c r="R449" s="12">
        <f t="shared" si="170"/>
        <v>464.51612903225805</v>
      </c>
      <c r="S449" s="12">
        <f t="shared" si="183"/>
        <v>140</v>
      </c>
      <c r="T449" s="21">
        <v>0</v>
      </c>
      <c r="U449" s="13">
        <v>0</v>
      </c>
      <c r="V449" s="13">
        <f t="shared" si="182"/>
        <v>604.51612903225805</v>
      </c>
      <c r="W449" s="13">
        <f t="shared" si="171"/>
        <v>7354.1935483870966</v>
      </c>
      <c r="Y449" s="13">
        <f t="shared" si="175"/>
        <v>7354.1935483870966</v>
      </c>
      <c r="Z449" s="12">
        <f t="shared" si="188"/>
        <v>509.03225806451616</v>
      </c>
      <c r="AA449" s="12">
        <f t="shared" si="172"/>
        <v>379</v>
      </c>
      <c r="AB449" s="1">
        <f t="shared" si="176"/>
        <v>0</v>
      </c>
      <c r="AC449" s="16">
        <f t="shared" si="179"/>
        <v>888.0322580645161</v>
      </c>
      <c r="AD449" s="16">
        <f t="shared" si="173"/>
        <v>8846.7419354838712</v>
      </c>
      <c r="AE449" s="55"/>
    </row>
    <row r="450" spans="1:32" x14ac:dyDescent="0.2">
      <c r="A450" s="10" t="s">
        <v>634</v>
      </c>
      <c r="B450" s="11" t="e">
        <f t="shared" si="177"/>
        <v>#REF!</v>
      </c>
      <c r="C450" s="11" t="s">
        <v>399</v>
      </c>
      <c r="D450" s="19" t="s">
        <v>50</v>
      </c>
      <c r="E450" s="19" t="s">
        <v>707</v>
      </c>
      <c r="F450" s="20">
        <v>42856</v>
      </c>
      <c r="G450" s="11">
        <v>31.5</v>
      </c>
      <c r="H450" s="13">
        <f t="shared" si="190"/>
        <v>5080.645161290322</v>
      </c>
      <c r="I450" s="13">
        <f t="shared" si="174"/>
        <v>0</v>
      </c>
      <c r="J450" s="13">
        <f t="shared" si="184"/>
        <v>254.0322580645161</v>
      </c>
      <c r="L450" s="13">
        <f t="shared" si="186"/>
        <v>812.90322580645159</v>
      </c>
      <c r="N450" s="13">
        <f>((1950+1441-178+1017+0)/G$3)*G450</f>
        <v>4298.2258064516127</v>
      </c>
      <c r="O450" s="13">
        <v>0</v>
      </c>
      <c r="Q450" s="13">
        <f t="shared" si="189"/>
        <v>10445.806451612902</v>
      </c>
      <c r="R450" s="12">
        <f t="shared" si="170"/>
        <v>609.67741935483866</v>
      </c>
      <c r="S450" s="12">
        <f t="shared" si="183"/>
        <v>183</v>
      </c>
      <c r="T450" s="21">
        <v>0</v>
      </c>
      <c r="U450" s="13">
        <v>0</v>
      </c>
      <c r="V450" s="13">
        <f t="shared" si="182"/>
        <v>792.67741935483866</v>
      </c>
      <c r="W450" s="13">
        <f t="shared" si="171"/>
        <v>9653.1290322580626</v>
      </c>
      <c r="Y450" s="13">
        <f t="shared" si="175"/>
        <v>9653.1290322580626</v>
      </c>
      <c r="Z450" s="12">
        <f t="shared" si="188"/>
        <v>668.10483870967732</v>
      </c>
      <c r="AA450" s="12">
        <f t="shared" si="172"/>
        <v>497</v>
      </c>
      <c r="AB450" s="1">
        <f t="shared" si="176"/>
        <v>0</v>
      </c>
      <c r="AC450" s="16">
        <f t="shared" si="179"/>
        <v>1165.1048387096773</v>
      </c>
      <c r="AD450" s="16">
        <f t="shared" si="173"/>
        <v>11610.91129032258</v>
      </c>
      <c r="AE450" s="55"/>
    </row>
    <row r="451" spans="1:32" x14ac:dyDescent="0.2">
      <c r="A451" s="10" t="s">
        <v>805</v>
      </c>
      <c r="B451" s="11" t="e">
        <f t="shared" si="177"/>
        <v>#REF!</v>
      </c>
      <c r="C451" s="11" t="s">
        <v>392</v>
      </c>
      <c r="D451" s="19" t="s">
        <v>50</v>
      </c>
      <c r="E451" s="11" t="s">
        <v>707</v>
      </c>
      <c r="F451" s="20">
        <v>42912</v>
      </c>
      <c r="G451" s="11">
        <v>30.5</v>
      </c>
      <c r="H451" s="13">
        <f t="shared" si="190"/>
        <v>4919.3548387096771</v>
      </c>
      <c r="I451" s="13">
        <f t="shared" si="174"/>
        <v>0</v>
      </c>
      <c r="J451" s="13">
        <f t="shared" si="184"/>
        <v>245.96774193548387</v>
      </c>
      <c r="L451" s="13">
        <f t="shared" si="186"/>
        <v>787.0967741935483</v>
      </c>
      <c r="N451" s="13">
        <f t="shared" ref="N451" si="191">((1950+1441-178+1017+1018+0)/G$3)*G451</f>
        <v>5163.3548387096771</v>
      </c>
      <c r="O451" s="13">
        <v>0</v>
      </c>
      <c r="Q451" s="13">
        <f t="shared" si="189"/>
        <v>11115.774193548386</v>
      </c>
      <c r="R451" s="12">
        <f t="shared" si="170"/>
        <v>590.32258064516122</v>
      </c>
      <c r="S451" s="12">
        <f t="shared" si="183"/>
        <v>195</v>
      </c>
      <c r="T451" s="21">
        <v>0</v>
      </c>
      <c r="U451" s="13">
        <v>0</v>
      </c>
      <c r="V451" s="13">
        <f t="shared" si="182"/>
        <v>785.32258064516122</v>
      </c>
      <c r="W451" s="13">
        <f t="shared" si="171"/>
        <v>10330.451612903225</v>
      </c>
      <c r="Y451" s="13">
        <f t="shared" si="175"/>
        <v>10330.451612903225</v>
      </c>
      <c r="Z451" s="12">
        <f t="shared" si="188"/>
        <v>646.89516129032256</v>
      </c>
      <c r="AA451" s="12">
        <f t="shared" si="172"/>
        <v>528</v>
      </c>
      <c r="AB451" s="1">
        <f t="shared" si="176"/>
        <v>0</v>
      </c>
      <c r="AC451" s="16">
        <f t="shared" si="179"/>
        <v>1174.8951612903224</v>
      </c>
      <c r="AD451" s="16">
        <f t="shared" si="173"/>
        <v>12290.669354838708</v>
      </c>
      <c r="AE451" s="55"/>
    </row>
    <row r="452" spans="1:32" x14ac:dyDescent="0.2">
      <c r="A452" s="10" t="s">
        <v>855</v>
      </c>
      <c r="B452" s="11" t="e">
        <f t="shared" si="177"/>
        <v>#REF!</v>
      </c>
      <c r="C452" s="11" t="s">
        <v>713</v>
      </c>
      <c r="D452" s="19" t="s">
        <v>50</v>
      </c>
      <c r="E452" s="11" t="s">
        <v>707</v>
      </c>
      <c r="F452" s="20">
        <v>42917</v>
      </c>
      <c r="G452" s="11">
        <v>27</v>
      </c>
      <c r="H452" s="13">
        <f t="shared" si="190"/>
        <v>4354.8387096774195</v>
      </c>
      <c r="I452" s="13">
        <f t="shared" si="174"/>
        <v>0</v>
      </c>
      <c r="J452" s="13">
        <f t="shared" si="184"/>
        <v>217.74193548387098</v>
      </c>
      <c r="L452" s="13">
        <f t="shared" si="186"/>
        <v>696.77419354838707</v>
      </c>
      <c r="N452" s="13">
        <f t="shared" ref="N452" si="192">((1950+1441-178+1017+0)/G$3)*G452</f>
        <v>3684.1935483870966</v>
      </c>
      <c r="O452" s="13">
        <v>0</v>
      </c>
      <c r="Q452" s="13">
        <f t="shared" si="189"/>
        <v>8953.5483870967746</v>
      </c>
      <c r="R452" s="12">
        <f t="shared" si="170"/>
        <v>522.58064516129036</v>
      </c>
      <c r="S452" s="12">
        <f t="shared" si="183"/>
        <v>157</v>
      </c>
      <c r="T452" s="21">
        <v>0</v>
      </c>
      <c r="U452" s="13">
        <v>0</v>
      </c>
      <c r="V452" s="13">
        <f t="shared" si="182"/>
        <v>679.58064516129036</v>
      </c>
      <c r="W452" s="13">
        <f t="shared" si="171"/>
        <v>8273.9677419354848</v>
      </c>
      <c r="Y452" s="13">
        <f t="shared" si="175"/>
        <v>8273.9677419354848</v>
      </c>
      <c r="Z452" s="12">
        <f t="shared" si="188"/>
        <v>572.66129032258073</v>
      </c>
      <c r="AA452" s="12">
        <f t="shared" si="172"/>
        <v>426</v>
      </c>
      <c r="AB452" s="1">
        <f t="shared" si="176"/>
        <v>0</v>
      </c>
      <c r="AC452" s="16">
        <f t="shared" si="179"/>
        <v>998.66129032258073</v>
      </c>
      <c r="AD452" s="16">
        <f t="shared" si="173"/>
        <v>9952.209677419356</v>
      </c>
      <c r="AE452" s="55"/>
    </row>
    <row r="453" spans="1:32" x14ac:dyDescent="0.2">
      <c r="A453" s="10" t="s">
        <v>1163</v>
      </c>
      <c r="B453" s="11" t="e">
        <f t="shared" si="177"/>
        <v>#REF!</v>
      </c>
      <c r="C453" s="11" t="s">
        <v>975</v>
      </c>
      <c r="D453" s="19" t="s">
        <v>50</v>
      </c>
      <c r="E453" s="19" t="s">
        <v>707</v>
      </c>
      <c r="F453" s="20">
        <v>42969</v>
      </c>
      <c r="G453" s="11">
        <v>22.5</v>
      </c>
      <c r="H453" s="13">
        <f t="shared" si="190"/>
        <v>3629.0322580645161</v>
      </c>
      <c r="I453" s="13">
        <f t="shared" si="174"/>
        <v>0</v>
      </c>
      <c r="J453" s="13">
        <f t="shared" si="184"/>
        <v>181.45161290322582</v>
      </c>
      <c r="L453" s="13">
        <f t="shared" si="186"/>
        <v>580.64516129032256</v>
      </c>
      <c r="N453" s="13">
        <f t="shared" ref="N453:N457" si="193">((4230)/G$3)*G453</f>
        <v>3070.1612903225805</v>
      </c>
      <c r="O453" s="13">
        <v>0</v>
      </c>
      <c r="Q453" s="13">
        <f t="shared" si="189"/>
        <v>7461.2903225806449</v>
      </c>
      <c r="R453" s="12">
        <f t="shared" si="170"/>
        <v>435.48387096774189</v>
      </c>
      <c r="S453" s="12">
        <f t="shared" si="183"/>
        <v>131</v>
      </c>
      <c r="T453" s="21">
        <v>0</v>
      </c>
      <c r="U453" s="13">
        <v>0</v>
      </c>
      <c r="V453" s="13">
        <f t="shared" si="182"/>
        <v>566.48387096774195</v>
      </c>
      <c r="W453" s="13">
        <f t="shared" si="171"/>
        <v>6894.8064516129034</v>
      </c>
      <c r="Y453" s="13">
        <f t="shared" si="175"/>
        <v>6894.8064516129034</v>
      </c>
      <c r="Z453" s="12">
        <f t="shared" si="188"/>
        <v>477.2177419354839</v>
      </c>
      <c r="AA453" s="12">
        <f t="shared" si="172"/>
        <v>355</v>
      </c>
      <c r="AB453" s="1">
        <f t="shared" si="176"/>
        <v>0</v>
      </c>
      <c r="AC453" s="16">
        <f t="shared" si="179"/>
        <v>832.2177419354839</v>
      </c>
      <c r="AD453" s="16">
        <f t="shared" si="173"/>
        <v>8293.5080645161288</v>
      </c>
      <c r="AE453" s="55"/>
    </row>
    <row r="454" spans="1:32" x14ac:dyDescent="0.2">
      <c r="A454" s="10" t="s">
        <v>1164</v>
      </c>
      <c r="B454" s="11" t="e">
        <f t="shared" si="177"/>
        <v>#REF!</v>
      </c>
      <c r="C454" s="11" t="s">
        <v>403</v>
      </c>
      <c r="D454" s="19" t="s">
        <v>50</v>
      </c>
      <c r="E454" s="19" t="s">
        <v>707</v>
      </c>
      <c r="F454" s="20">
        <v>42969</v>
      </c>
      <c r="G454" s="11">
        <v>32</v>
      </c>
      <c r="H454" s="13">
        <f t="shared" si="190"/>
        <v>5161.2903225806449</v>
      </c>
      <c r="I454" s="13">
        <f t="shared" si="174"/>
        <v>0</v>
      </c>
      <c r="J454" s="13">
        <f t="shared" si="184"/>
        <v>258.06451612903226</v>
      </c>
      <c r="L454" s="13">
        <f t="shared" si="186"/>
        <v>825.80645161290317</v>
      </c>
      <c r="N454" s="13">
        <f t="shared" si="193"/>
        <v>4366.4516129032254</v>
      </c>
      <c r="O454" s="13">
        <v>0</v>
      </c>
      <c r="Q454" s="13">
        <f t="shared" si="189"/>
        <v>10611.612903225807</v>
      </c>
      <c r="R454" s="12">
        <f t="shared" ref="R454:R517" si="194">(H454+I454)*12%</f>
        <v>619.35483870967732</v>
      </c>
      <c r="S454" s="12">
        <f t="shared" si="183"/>
        <v>186</v>
      </c>
      <c r="T454" s="21">
        <v>0</v>
      </c>
      <c r="U454" s="13">
        <v>0</v>
      </c>
      <c r="V454" s="13">
        <f t="shared" si="182"/>
        <v>805.35483870967732</v>
      </c>
      <c r="W454" s="13">
        <f t="shared" ref="W454:W490" si="195">Q454-V454</f>
        <v>9806.2580645161288</v>
      </c>
      <c r="Y454" s="13">
        <f t="shared" si="175"/>
        <v>9806.2580645161288</v>
      </c>
      <c r="Z454" s="12">
        <f t="shared" si="188"/>
        <v>678.70967741935488</v>
      </c>
      <c r="AA454" s="12">
        <f t="shared" ref="AA454:AA490" si="196">CEILING((Q454)*4.75%,1)</f>
        <v>505</v>
      </c>
      <c r="AB454" s="1">
        <f t="shared" si="176"/>
        <v>0</v>
      </c>
      <c r="AC454" s="16">
        <f t="shared" si="179"/>
        <v>1183.7096774193549</v>
      </c>
      <c r="AD454" s="16">
        <f t="shared" ref="AD454:AD490" si="197">Q454+AC454</f>
        <v>11795.322580645161</v>
      </c>
      <c r="AE454" s="55"/>
    </row>
    <row r="455" spans="1:32" x14ac:dyDescent="0.2">
      <c r="A455" s="10" t="s">
        <v>1165</v>
      </c>
      <c r="B455" s="11" t="e">
        <f t="shared" si="177"/>
        <v>#REF!</v>
      </c>
      <c r="C455" s="11" t="s">
        <v>976</v>
      </c>
      <c r="D455" s="19" t="s">
        <v>50</v>
      </c>
      <c r="E455" s="19" t="s">
        <v>707</v>
      </c>
      <c r="F455" s="20">
        <v>42966</v>
      </c>
      <c r="G455" s="11">
        <v>27</v>
      </c>
      <c r="H455" s="13">
        <f t="shared" si="190"/>
        <v>4354.8387096774195</v>
      </c>
      <c r="I455" s="13">
        <f t="shared" ref="I455:I518" si="198">((0)/G$3)*G455</f>
        <v>0</v>
      </c>
      <c r="J455" s="13">
        <f t="shared" si="184"/>
        <v>217.74193548387098</v>
      </c>
      <c r="L455" s="13">
        <f t="shared" si="186"/>
        <v>696.77419354838707</v>
      </c>
      <c r="N455" s="13">
        <f t="shared" si="193"/>
        <v>3684.1935483870966</v>
      </c>
      <c r="O455" s="13">
        <v>0</v>
      </c>
      <c r="Q455" s="13">
        <f t="shared" si="189"/>
        <v>8953.5483870967746</v>
      </c>
      <c r="R455" s="12">
        <f t="shared" si="194"/>
        <v>522.58064516129036</v>
      </c>
      <c r="S455" s="12">
        <f t="shared" si="183"/>
        <v>157</v>
      </c>
      <c r="T455" s="21">
        <v>0</v>
      </c>
      <c r="U455" s="13">
        <v>0</v>
      </c>
      <c r="V455" s="13">
        <f t="shared" si="182"/>
        <v>679.58064516129036</v>
      </c>
      <c r="W455" s="13">
        <f t="shared" si="195"/>
        <v>8273.9677419354848</v>
      </c>
      <c r="Y455" s="13">
        <f t="shared" ref="Y455:Y490" si="199">W455-X455</f>
        <v>8273.9677419354848</v>
      </c>
      <c r="Z455" s="12">
        <f t="shared" si="188"/>
        <v>572.66129032258073</v>
      </c>
      <c r="AA455" s="12">
        <f t="shared" si="196"/>
        <v>426</v>
      </c>
      <c r="AB455" s="1">
        <f t="shared" ref="AB455:AB518" si="200">U455*3</f>
        <v>0</v>
      </c>
      <c r="AC455" s="16">
        <f t="shared" si="179"/>
        <v>998.66129032258073</v>
      </c>
      <c r="AD455" s="16">
        <f t="shared" si="197"/>
        <v>9952.209677419356</v>
      </c>
      <c r="AE455" s="55"/>
    </row>
    <row r="456" spans="1:32" x14ac:dyDescent="0.2">
      <c r="A456" s="10" t="s">
        <v>1166</v>
      </c>
      <c r="B456" s="11" t="e">
        <f t="shared" ref="B456:B459" si="201">B455+1</f>
        <v>#REF!</v>
      </c>
      <c r="C456" s="11" t="s">
        <v>978</v>
      </c>
      <c r="D456" s="19" t="s">
        <v>50</v>
      </c>
      <c r="E456" s="19" t="s">
        <v>707</v>
      </c>
      <c r="F456" s="20">
        <v>42973</v>
      </c>
      <c r="G456" s="11">
        <v>31</v>
      </c>
      <c r="H456" s="13">
        <f t="shared" si="190"/>
        <v>5000</v>
      </c>
      <c r="I456" s="13">
        <f t="shared" si="198"/>
        <v>0</v>
      </c>
      <c r="J456" s="13">
        <f t="shared" si="184"/>
        <v>250</v>
      </c>
      <c r="L456" s="13">
        <f t="shared" si="186"/>
        <v>800</v>
      </c>
      <c r="N456" s="13">
        <f t="shared" si="193"/>
        <v>4230</v>
      </c>
      <c r="O456" s="13">
        <v>0</v>
      </c>
      <c r="Q456" s="13">
        <f t="shared" si="189"/>
        <v>10280</v>
      </c>
      <c r="R456" s="12">
        <f t="shared" si="194"/>
        <v>600</v>
      </c>
      <c r="S456" s="12">
        <f t="shared" si="183"/>
        <v>180</v>
      </c>
      <c r="T456" s="21">
        <v>0</v>
      </c>
      <c r="U456" s="13">
        <v>0</v>
      </c>
      <c r="V456" s="13">
        <f t="shared" si="182"/>
        <v>780</v>
      </c>
      <c r="W456" s="13">
        <f t="shared" si="195"/>
        <v>9500</v>
      </c>
      <c r="Y456" s="13">
        <f t="shared" si="199"/>
        <v>9500</v>
      </c>
      <c r="Z456" s="12">
        <f t="shared" si="188"/>
        <v>657.5</v>
      </c>
      <c r="AA456" s="12">
        <f t="shared" si="196"/>
        <v>489</v>
      </c>
      <c r="AB456" s="1">
        <f t="shared" si="200"/>
        <v>0</v>
      </c>
      <c r="AC456" s="16">
        <f t="shared" si="179"/>
        <v>1146.5</v>
      </c>
      <c r="AD456" s="16">
        <f t="shared" si="197"/>
        <v>11426.5</v>
      </c>
      <c r="AE456" s="55"/>
    </row>
    <row r="457" spans="1:32" x14ac:dyDescent="0.2">
      <c r="A457" s="10" t="s">
        <v>1372</v>
      </c>
      <c r="B457" s="11" t="e">
        <f t="shared" si="201"/>
        <v>#REF!</v>
      </c>
      <c r="C457" s="11" t="s">
        <v>542</v>
      </c>
      <c r="D457" s="19" t="s">
        <v>50</v>
      </c>
      <c r="E457" s="19" t="s">
        <v>707</v>
      </c>
      <c r="F457" s="20">
        <v>42980</v>
      </c>
      <c r="G457" s="11">
        <v>33</v>
      </c>
      <c r="H457" s="13">
        <f t="shared" si="190"/>
        <v>5322.5806451612898</v>
      </c>
      <c r="I457" s="13">
        <f t="shared" si="198"/>
        <v>0</v>
      </c>
      <c r="J457" s="13">
        <f t="shared" si="184"/>
        <v>266.12903225806451</v>
      </c>
      <c r="L457" s="13">
        <f t="shared" si="186"/>
        <v>851.61290322580635</v>
      </c>
      <c r="N457" s="13">
        <f t="shared" si="193"/>
        <v>4502.9032258064508</v>
      </c>
      <c r="O457" s="13">
        <v>0</v>
      </c>
      <c r="Q457" s="13">
        <f t="shared" si="189"/>
        <v>10943.225806451612</v>
      </c>
      <c r="R457" s="12">
        <f t="shared" si="194"/>
        <v>638.70967741935476</v>
      </c>
      <c r="S457" s="12">
        <f t="shared" si="183"/>
        <v>192</v>
      </c>
      <c r="T457" s="21">
        <v>0</v>
      </c>
      <c r="U457" s="13">
        <v>0</v>
      </c>
      <c r="V457" s="13">
        <f t="shared" si="182"/>
        <v>830.70967741935476</v>
      </c>
      <c r="W457" s="13">
        <f t="shared" si="195"/>
        <v>10112.516129032258</v>
      </c>
      <c r="Y457" s="13">
        <f t="shared" si="199"/>
        <v>10112.516129032258</v>
      </c>
      <c r="Z457" s="12">
        <f t="shared" si="188"/>
        <v>699.91935483870964</v>
      </c>
      <c r="AA457" s="12">
        <f t="shared" si="196"/>
        <v>520</v>
      </c>
      <c r="AB457" s="1">
        <f t="shared" si="200"/>
        <v>0</v>
      </c>
      <c r="AC457" s="16">
        <f t="shared" si="179"/>
        <v>1219.9193548387098</v>
      </c>
      <c r="AD457" s="16">
        <f t="shared" si="197"/>
        <v>12163.145161290322</v>
      </c>
      <c r="AF457" s="16"/>
    </row>
    <row r="458" spans="1:32" x14ac:dyDescent="0.2">
      <c r="A458" s="10" t="s">
        <v>1371</v>
      </c>
      <c r="B458" s="11" t="e">
        <f t="shared" si="201"/>
        <v>#REF!</v>
      </c>
      <c r="C458" s="11" t="s">
        <v>1346</v>
      </c>
      <c r="D458" s="19" t="s">
        <v>50</v>
      </c>
      <c r="E458" s="11" t="s">
        <v>234</v>
      </c>
      <c r="F458" s="20">
        <v>42980</v>
      </c>
      <c r="G458" s="11">
        <v>12.5</v>
      </c>
      <c r="H458" s="13">
        <f t="shared" si="190"/>
        <v>2016.1290322580644</v>
      </c>
      <c r="I458" s="13">
        <f t="shared" si="198"/>
        <v>0</v>
      </c>
      <c r="J458" s="13">
        <f t="shared" si="184"/>
        <v>100.80645161290323</v>
      </c>
      <c r="L458" s="13">
        <f t="shared" si="186"/>
        <v>322.58064516129031</v>
      </c>
      <c r="N458" s="13">
        <f t="shared" ref="N458" si="202">((1950+1441-178+1017+1018+0)/G$3)*G458</f>
        <v>2116.1290322580644</v>
      </c>
      <c r="Q458" s="13">
        <f t="shared" ref="Q458:Q459" si="203">SUM(H458:P458)</f>
        <v>4555.645161290322</v>
      </c>
      <c r="R458" s="12">
        <f t="shared" si="194"/>
        <v>241.93548387096772</v>
      </c>
      <c r="S458" s="12">
        <f t="shared" si="183"/>
        <v>80</v>
      </c>
      <c r="T458" s="21">
        <v>0</v>
      </c>
      <c r="U458" s="13">
        <v>0</v>
      </c>
      <c r="V458" s="13">
        <f t="shared" si="182"/>
        <v>321.93548387096769</v>
      </c>
      <c r="W458" s="13">
        <f t="shared" si="195"/>
        <v>4233.7096774193542</v>
      </c>
      <c r="Y458" s="13">
        <f t="shared" si="199"/>
        <v>4233.7096774193542</v>
      </c>
      <c r="Z458" s="12">
        <f t="shared" si="188"/>
        <v>265.12096774193549</v>
      </c>
      <c r="AA458" s="12">
        <f t="shared" si="196"/>
        <v>217</v>
      </c>
      <c r="AB458" s="1">
        <f t="shared" si="200"/>
        <v>0</v>
      </c>
      <c r="AC458" s="16">
        <f t="shared" ref="AC458:AC490" si="204">SUM(Z458:AB458)</f>
        <v>482.12096774193549</v>
      </c>
      <c r="AD458" s="16">
        <f t="shared" si="197"/>
        <v>5037.7661290322576</v>
      </c>
      <c r="AE458" s="55"/>
    </row>
    <row r="459" spans="1:32" x14ac:dyDescent="0.2">
      <c r="A459" s="10" t="s">
        <v>1371</v>
      </c>
      <c r="B459" s="11" t="e">
        <f t="shared" si="201"/>
        <v>#REF!</v>
      </c>
      <c r="C459" s="11" t="s">
        <v>1167</v>
      </c>
      <c r="D459" s="19" t="s">
        <v>50</v>
      </c>
      <c r="E459" s="11" t="s">
        <v>234</v>
      </c>
      <c r="F459" s="20">
        <v>42980</v>
      </c>
      <c r="G459" s="11">
        <v>20</v>
      </c>
      <c r="H459" s="13">
        <f>(5000/30)*G459</f>
        <v>3333.333333333333</v>
      </c>
      <c r="I459" s="13">
        <f t="shared" si="198"/>
        <v>0</v>
      </c>
      <c r="J459" s="13">
        <f t="shared" si="184"/>
        <v>166.66666666666666</v>
      </c>
      <c r="L459" s="13">
        <f>((800)/30)*G459</f>
        <v>533.33333333333337</v>
      </c>
      <c r="N459" s="13">
        <f>((1950+1441-178+1017+1018+0)/30)*G459</f>
        <v>3498.666666666667</v>
      </c>
      <c r="Q459" s="13">
        <f t="shared" si="203"/>
        <v>7532</v>
      </c>
      <c r="R459" s="12">
        <f t="shared" si="194"/>
        <v>399.99999999999994</v>
      </c>
      <c r="S459" s="12">
        <f t="shared" si="183"/>
        <v>132</v>
      </c>
      <c r="T459" s="21">
        <v>0</v>
      </c>
      <c r="U459" s="13">
        <v>0</v>
      </c>
      <c r="V459" s="13">
        <f t="shared" si="182"/>
        <v>532</v>
      </c>
      <c r="W459" s="13">
        <f t="shared" si="195"/>
        <v>7000</v>
      </c>
      <c r="X459" s="13">
        <v>7000</v>
      </c>
      <c r="Y459" s="13">
        <f t="shared" si="199"/>
        <v>0</v>
      </c>
      <c r="Z459" s="12">
        <f t="shared" si="188"/>
        <v>438.33333333333331</v>
      </c>
      <c r="AA459" s="12">
        <f t="shared" si="196"/>
        <v>358</v>
      </c>
      <c r="AB459" s="1">
        <f t="shared" si="200"/>
        <v>0</v>
      </c>
      <c r="AC459" s="16">
        <f t="shared" si="204"/>
        <v>796.33333333333326</v>
      </c>
      <c r="AD459" s="16">
        <f t="shared" si="197"/>
        <v>8328.3333333333339</v>
      </c>
      <c r="AE459" s="55"/>
    </row>
    <row r="460" spans="1:32" x14ac:dyDescent="0.2">
      <c r="A460" s="10" t="s">
        <v>893</v>
      </c>
      <c r="C460" s="11" t="s">
        <v>750</v>
      </c>
      <c r="D460" s="19" t="s">
        <v>50</v>
      </c>
      <c r="E460" s="11" t="s">
        <v>234</v>
      </c>
      <c r="F460" s="22">
        <v>42934</v>
      </c>
      <c r="G460" s="11">
        <v>13</v>
      </c>
      <c r="H460" s="13">
        <f>(5000/30)*G460</f>
        <v>2166.6666666666665</v>
      </c>
      <c r="I460" s="13">
        <f t="shared" si="198"/>
        <v>0</v>
      </c>
      <c r="J460" s="13">
        <f t="shared" si="184"/>
        <v>108.33333333333333</v>
      </c>
      <c r="L460" s="13">
        <f>((800)/30)*G460</f>
        <v>346.66666666666669</v>
      </c>
      <c r="N460" s="13">
        <f>((1950+1441-178+1017+674)/30)*G460</f>
        <v>2125.0666666666666</v>
      </c>
      <c r="Q460" s="13">
        <f t="shared" ref="Q460:Q461" si="205">SUM(H460:P460)</f>
        <v>4746.7333333333336</v>
      </c>
      <c r="R460" s="12">
        <f t="shared" si="194"/>
        <v>260</v>
      </c>
      <c r="S460" s="12">
        <f t="shared" si="183"/>
        <v>84</v>
      </c>
      <c r="T460" s="21">
        <v>0</v>
      </c>
      <c r="U460" s="13">
        <v>0</v>
      </c>
      <c r="V460" s="13">
        <f t="shared" si="182"/>
        <v>344</v>
      </c>
      <c r="W460" s="13">
        <f t="shared" si="195"/>
        <v>4402.7333333333336</v>
      </c>
      <c r="Y460" s="13">
        <f t="shared" si="199"/>
        <v>4402.7333333333336</v>
      </c>
      <c r="Z460" s="12">
        <f t="shared" si="188"/>
        <v>284.91666666666669</v>
      </c>
      <c r="AA460" s="12">
        <f t="shared" si="196"/>
        <v>226</v>
      </c>
      <c r="AB460" s="1">
        <f t="shared" si="200"/>
        <v>0</v>
      </c>
      <c r="AC460" s="16">
        <f t="shared" si="204"/>
        <v>510.91666666666669</v>
      </c>
      <c r="AD460" s="16">
        <f t="shared" si="197"/>
        <v>5257.6500000000005</v>
      </c>
    </row>
    <row r="461" spans="1:32" x14ac:dyDescent="0.2">
      <c r="A461" s="10" t="s">
        <v>1373</v>
      </c>
      <c r="C461" s="11" t="s">
        <v>233</v>
      </c>
      <c r="D461" s="19" t="s">
        <v>50</v>
      </c>
      <c r="E461" s="11" t="s">
        <v>234</v>
      </c>
      <c r="F461" s="22">
        <v>42899</v>
      </c>
      <c r="G461" s="11">
        <v>2</v>
      </c>
      <c r="H461" s="13">
        <f>(5000/30)*G461</f>
        <v>333.33333333333331</v>
      </c>
      <c r="I461" s="13">
        <f t="shared" si="198"/>
        <v>0</v>
      </c>
      <c r="J461" s="13">
        <f t="shared" si="184"/>
        <v>16.666666666666668</v>
      </c>
      <c r="L461" s="13">
        <f>((800)/30)*G461</f>
        <v>53.333333333333336</v>
      </c>
      <c r="N461" s="13">
        <f>((1950+1441-178+1017+674)/30)*G461</f>
        <v>326.93333333333334</v>
      </c>
      <c r="Q461" s="13">
        <f t="shared" si="205"/>
        <v>730.26666666666665</v>
      </c>
      <c r="R461" s="12">
        <f t="shared" si="194"/>
        <v>39.999999999999993</v>
      </c>
      <c r="S461" s="12">
        <f t="shared" si="183"/>
        <v>13</v>
      </c>
      <c r="T461" s="21">
        <v>0</v>
      </c>
      <c r="U461" s="13">
        <v>0</v>
      </c>
      <c r="V461" s="13">
        <f t="shared" ref="V461:V490" si="206">SUM(R461:U461)</f>
        <v>52.999999999999993</v>
      </c>
      <c r="W461" s="13">
        <f t="shared" si="195"/>
        <v>677.26666666666665</v>
      </c>
      <c r="Y461" s="13">
        <f t="shared" si="199"/>
        <v>677.26666666666665</v>
      </c>
      <c r="Z461" s="12">
        <f t="shared" si="188"/>
        <v>43.833333333333336</v>
      </c>
      <c r="AA461" s="12">
        <f t="shared" si="196"/>
        <v>35</v>
      </c>
      <c r="AB461" s="1">
        <f t="shared" si="200"/>
        <v>0</v>
      </c>
      <c r="AC461" s="16">
        <f t="shared" si="204"/>
        <v>78.833333333333343</v>
      </c>
      <c r="AD461" s="16">
        <f t="shared" si="197"/>
        <v>809.1</v>
      </c>
    </row>
    <row r="462" spans="1:32" x14ac:dyDescent="0.2">
      <c r="A462" s="10" t="s">
        <v>315</v>
      </c>
      <c r="C462" s="11" t="s">
        <v>1347</v>
      </c>
      <c r="D462" s="19" t="s">
        <v>50</v>
      </c>
      <c r="E462" s="19" t="s">
        <v>581</v>
      </c>
      <c r="F462" s="20">
        <v>43029</v>
      </c>
      <c r="G462" s="11">
        <v>13</v>
      </c>
      <c r="H462" s="13">
        <f>(5000/30)*G462</f>
        <v>2166.6666666666665</v>
      </c>
      <c r="I462" s="13">
        <f t="shared" si="198"/>
        <v>0</v>
      </c>
      <c r="J462" s="13">
        <f t="shared" si="184"/>
        <v>108.33333333333333</v>
      </c>
      <c r="L462" s="13">
        <f>((800)/30)*G462</f>
        <v>346.66666666666669</v>
      </c>
      <c r="N462" s="13">
        <f>((1950+1441-178+706+0)/30)*G462</f>
        <v>1698.2333333333331</v>
      </c>
      <c r="Q462" s="13">
        <f t="shared" ref="Q462" si="207">SUM(H462:P462)</f>
        <v>4319.8999999999996</v>
      </c>
      <c r="R462" s="12">
        <f t="shared" si="194"/>
        <v>260</v>
      </c>
      <c r="S462" s="12">
        <f t="shared" ref="S462:S490" si="208">ROUNDUP((Q462*1.75%),0)</f>
        <v>76</v>
      </c>
      <c r="T462" s="21">
        <v>0</v>
      </c>
      <c r="U462" s="13">
        <v>0</v>
      </c>
      <c r="V462" s="13">
        <f t="shared" si="206"/>
        <v>336</v>
      </c>
      <c r="W462" s="13">
        <f t="shared" si="195"/>
        <v>3983.8999999999996</v>
      </c>
      <c r="Y462" s="13">
        <f t="shared" si="199"/>
        <v>3983.8999999999996</v>
      </c>
      <c r="Z462" s="12">
        <f t="shared" si="188"/>
        <v>284.91666666666669</v>
      </c>
      <c r="AA462" s="12">
        <f t="shared" si="196"/>
        <v>206</v>
      </c>
      <c r="AB462" s="1">
        <f t="shared" si="200"/>
        <v>0</v>
      </c>
      <c r="AC462" s="16">
        <f t="shared" si="204"/>
        <v>490.91666666666669</v>
      </c>
      <c r="AD462" s="16">
        <f t="shared" si="197"/>
        <v>4810.8166666666666</v>
      </c>
    </row>
    <row r="463" spans="1:32" x14ac:dyDescent="0.2">
      <c r="A463" s="10" t="s">
        <v>315</v>
      </c>
      <c r="C463" s="11" t="s">
        <v>214</v>
      </c>
      <c r="D463" s="19" t="s">
        <v>50</v>
      </c>
      <c r="E463" s="11" t="s">
        <v>234</v>
      </c>
      <c r="F463" s="20">
        <v>43013</v>
      </c>
      <c r="G463" s="11">
        <v>30</v>
      </c>
      <c r="H463" s="13">
        <f t="shared" ref="H463:H490" si="209">(5000/30)*G463</f>
        <v>5000</v>
      </c>
      <c r="I463" s="13">
        <f t="shared" si="198"/>
        <v>0</v>
      </c>
      <c r="J463" s="13">
        <f t="shared" si="184"/>
        <v>250</v>
      </c>
      <c r="L463" s="13">
        <f t="shared" ref="L463:L490" si="210">((800)/30)*G463</f>
        <v>800</v>
      </c>
      <c r="N463" s="13">
        <f t="shared" ref="N463:N488" si="211">((1950+1441-178+1017+674)/30)*G463</f>
        <v>4904</v>
      </c>
      <c r="Q463" s="13">
        <f t="shared" ref="Q463:Q490" si="212">SUM(H463:P463)</f>
        <v>10954</v>
      </c>
      <c r="R463" s="12">
        <f t="shared" si="194"/>
        <v>600</v>
      </c>
      <c r="S463" s="12">
        <f t="shared" si="208"/>
        <v>192</v>
      </c>
      <c r="T463" s="21">
        <v>0</v>
      </c>
      <c r="U463" s="13">
        <v>0</v>
      </c>
      <c r="V463" s="13">
        <f t="shared" si="206"/>
        <v>792</v>
      </c>
      <c r="W463" s="13">
        <f t="shared" si="195"/>
        <v>10162</v>
      </c>
      <c r="Y463" s="13">
        <f t="shared" si="199"/>
        <v>10162</v>
      </c>
      <c r="Z463" s="12">
        <f t="shared" si="188"/>
        <v>657.5</v>
      </c>
      <c r="AA463" s="12">
        <f t="shared" si="196"/>
        <v>521</v>
      </c>
      <c r="AB463" s="1">
        <f t="shared" si="200"/>
        <v>0</v>
      </c>
      <c r="AC463" s="16">
        <f t="shared" si="204"/>
        <v>1178.5</v>
      </c>
      <c r="AD463" s="16">
        <f t="shared" si="197"/>
        <v>12132.5</v>
      </c>
    </row>
    <row r="464" spans="1:32" x14ac:dyDescent="0.2">
      <c r="A464" s="10" t="s">
        <v>315</v>
      </c>
      <c r="C464" s="11" t="s">
        <v>1348</v>
      </c>
      <c r="D464" s="19" t="s">
        <v>50</v>
      </c>
      <c r="E464" s="11" t="s">
        <v>234</v>
      </c>
      <c r="F464" s="20">
        <v>43013</v>
      </c>
      <c r="G464" s="11">
        <v>14</v>
      </c>
      <c r="H464" s="13">
        <f t="shared" si="209"/>
        <v>2333.333333333333</v>
      </c>
      <c r="I464" s="13">
        <f t="shared" si="198"/>
        <v>0</v>
      </c>
      <c r="J464" s="13">
        <f t="shared" si="184"/>
        <v>116.66666666666666</v>
      </c>
      <c r="L464" s="13">
        <f t="shared" si="210"/>
        <v>373.33333333333337</v>
      </c>
      <c r="N464" s="13">
        <f t="shared" si="211"/>
        <v>2288.5333333333333</v>
      </c>
      <c r="Q464" s="13">
        <f t="shared" si="212"/>
        <v>5111.8666666666668</v>
      </c>
      <c r="R464" s="12">
        <f t="shared" si="194"/>
        <v>279.99999999999994</v>
      </c>
      <c r="S464" s="12">
        <f t="shared" si="208"/>
        <v>90</v>
      </c>
      <c r="T464" s="21">
        <v>0</v>
      </c>
      <c r="U464" s="13">
        <v>0</v>
      </c>
      <c r="V464" s="13">
        <f t="shared" si="206"/>
        <v>369.99999999999994</v>
      </c>
      <c r="W464" s="13">
        <f t="shared" si="195"/>
        <v>4741.8666666666668</v>
      </c>
      <c r="Y464" s="13">
        <f t="shared" si="199"/>
        <v>4741.8666666666668</v>
      </c>
      <c r="Z464" s="12">
        <f t="shared" si="188"/>
        <v>306.83333333333331</v>
      </c>
      <c r="AA464" s="12">
        <f t="shared" si="196"/>
        <v>243</v>
      </c>
      <c r="AB464" s="1">
        <f t="shared" si="200"/>
        <v>0</v>
      </c>
      <c r="AC464" s="16">
        <f t="shared" si="204"/>
        <v>549.83333333333326</v>
      </c>
      <c r="AD464" s="16">
        <f t="shared" si="197"/>
        <v>5661.7</v>
      </c>
    </row>
    <row r="465" spans="1:30" x14ac:dyDescent="0.2">
      <c r="A465" s="10" t="s">
        <v>315</v>
      </c>
      <c r="C465" s="11" t="s">
        <v>1349</v>
      </c>
      <c r="D465" s="19" t="s">
        <v>50</v>
      </c>
      <c r="E465" s="11" t="s">
        <v>234</v>
      </c>
      <c r="F465" s="20">
        <v>43013</v>
      </c>
      <c r="G465" s="11">
        <v>24</v>
      </c>
      <c r="H465" s="13">
        <f t="shared" si="209"/>
        <v>4000</v>
      </c>
      <c r="I465" s="13">
        <f t="shared" si="198"/>
        <v>0</v>
      </c>
      <c r="J465" s="13">
        <f t="shared" si="184"/>
        <v>200</v>
      </c>
      <c r="L465" s="13">
        <f t="shared" si="210"/>
        <v>640</v>
      </c>
      <c r="N465" s="13">
        <f t="shared" si="211"/>
        <v>3923.2</v>
      </c>
      <c r="Q465" s="13">
        <f t="shared" si="212"/>
        <v>8763.2000000000007</v>
      </c>
      <c r="R465" s="12">
        <f t="shared" si="194"/>
        <v>480</v>
      </c>
      <c r="S465" s="12">
        <f t="shared" si="208"/>
        <v>154</v>
      </c>
      <c r="T465" s="21">
        <v>0</v>
      </c>
      <c r="U465" s="13">
        <v>0</v>
      </c>
      <c r="V465" s="13">
        <f t="shared" si="206"/>
        <v>634</v>
      </c>
      <c r="W465" s="13">
        <f t="shared" si="195"/>
        <v>8129.2000000000007</v>
      </c>
      <c r="Y465" s="13">
        <f t="shared" si="199"/>
        <v>8129.2000000000007</v>
      </c>
      <c r="Z465" s="12">
        <f t="shared" si="188"/>
        <v>526</v>
      </c>
      <c r="AA465" s="12">
        <f t="shared" si="196"/>
        <v>417</v>
      </c>
      <c r="AB465" s="1">
        <f t="shared" si="200"/>
        <v>0</v>
      </c>
      <c r="AC465" s="16">
        <f t="shared" si="204"/>
        <v>943</v>
      </c>
      <c r="AD465" s="16">
        <f t="shared" si="197"/>
        <v>9706.2000000000007</v>
      </c>
    </row>
    <row r="466" spans="1:30" x14ac:dyDescent="0.2">
      <c r="A466" s="10" t="s">
        <v>315</v>
      </c>
      <c r="C466" s="11" t="s">
        <v>403</v>
      </c>
      <c r="D466" s="19" t="s">
        <v>50</v>
      </c>
      <c r="E466" s="11" t="s">
        <v>234</v>
      </c>
      <c r="F466" s="22">
        <v>43014</v>
      </c>
      <c r="G466" s="11">
        <v>26</v>
      </c>
      <c r="H466" s="13">
        <f t="shared" si="209"/>
        <v>4333.333333333333</v>
      </c>
      <c r="I466" s="13">
        <f t="shared" si="198"/>
        <v>0</v>
      </c>
      <c r="J466" s="13">
        <f t="shared" si="184"/>
        <v>216.66666666666666</v>
      </c>
      <c r="L466" s="13">
        <f t="shared" si="210"/>
        <v>693.33333333333337</v>
      </c>
      <c r="N466" s="13">
        <f t="shared" si="211"/>
        <v>4250.1333333333332</v>
      </c>
      <c r="Q466" s="13">
        <f t="shared" si="212"/>
        <v>9493.4666666666672</v>
      </c>
      <c r="R466" s="12">
        <f t="shared" si="194"/>
        <v>520</v>
      </c>
      <c r="S466" s="12">
        <f t="shared" si="208"/>
        <v>167</v>
      </c>
      <c r="T466" s="21">
        <v>0</v>
      </c>
      <c r="U466" s="13">
        <v>0</v>
      </c>
      <c r="V466" s="13">
        <f t="shared" si="206"/>
        <v>687</v>
      </c>
      <c r="W466" s="13">
        <f t="shared" si="195"/>
        <v>8806.4666666666672</v>
      </c>
      <c r="Y466" s="13">
        <f t="shared" si="199"/>
        <v>8806.4666666666672</v>
      </c>
      <c r="Z466" s="12">
        <f t="shared" si="188"/>
        <v>569.83333333333337</v>
      </c>
      <c r="AA466" s="12">
        <f t="shared" si="196"/>
        <v>451</v>
      </c>
      <c r="AB466" s="1">
        <f t="shared" si="200"/>
        <v>0</v>
      </c>
      <c r="AC466" s="16">
        <f t="shared" si="204"/>
        <v>1020.8333333333334</v>
      </c>
      <c r="AD466" s="16">
        <f t="shared" si="197"/>
        <v>10514.300000000001</v>
      </c>
    </row>
    <row r="467" spans="1:30" x14ac:dyDescent="0.2">
      <c r="A467" s="10" t="s">
        <v>315</v>
      </c>
      <c r="C467" s="11" t="s">
        <v>1350</v>
      </c>
      <c r="D467" s="19" t="s">
        <v>50</v>
      </c>
      <c r="E467" s="11" t="s">
        <v>234</v>
      </c>
      <c r="F467" s="22">
        <v>43016</v>
      </c>
      <c r="G467" s="11">
        <v>21</v>
      </c>
      <c r="H467" s="13">
        <f t="shared" si="209"/>
        <v>3500</v>
      </c>
      <c r="I467" s="13">
        <f t="shared" si="198"/>
        <v>0</v>
      </c>
      <c r="J467" s="13">
        <f t="shared" ref="J467:J509" si="213">(H467+I467)*5%</f>
        <v>175</v>
      </c>
      <c r="L467" s="13">
        <f t="shared" si="210"/>
        <v>560</v>
      </c>
      <c r="N467" s="13">
        <f t="shared" si="211"/>
        <v>3432.8</v>
      </c>
      <c r="Q467" s="13">
        <f t="shared" si="212"/>
        <v>7667.8</v>
      </c>
      <c r="R467" s="12">
        <f t="shared" si="194"/>
        <v>420</v>
      </c>
      <c r="S467" s="12">
        <f t="shared" si="208"/>
        <v>135</v>
      </c>
      <c r="T467" s="21">
        <v>0</v>
      </c>
      <c r="U467" s="13">
        <v>0</v>
      </c>
      <c r="V467" s="13">
        <f t="shared" si="206"/>
        <v>555</v>
      </c>
      <c r="W467" s="13">
        <f t="shared" si="195"/>
        <v>7112.8</v>
      </c>
      <c r="Y467" s="13">
        <f t="shared" si="199"/>
        <v>7112.8</v>
      </c>
      <c r="Z467" s="12">
        <f t="shared" si="188"/>
        <v>460.25</v>
      </c>
      <c r="AA467" s="12">
        <f t="shared" si="196"/>
        <v>365</v>
      </c>
      <c r="AB467" s="1">
        <f t="shared" si="200"/>
        <v>0</v>
      </c>
      <c r="AC467" s="16">
        <f t="shared" si="204"/>
        <v>825.25</v>
      </c>
      <c r="AD467" s="16">
        <f t="shared" si="197"/>
        <v>8493.0499999999993</v>
      </c>
    </row>
    <row r="468" spans="1:30" x14ac:dyDescent="0.2">
      <c r="A468" s="10" t="s">
        <v>315</v>
      </c>
      <c r="C468" s="11" t="s">
        <v>1351</v>
      </c>
      <c r="D468" s="19" t="s">
        <v>50</v>
      </c>
      <c r="E468" s="11" t="s">
        <v>234</v>
      </c>
      <c r="F468" s="22">
        <v>43019</v>
      </c>
      <c r="G468" s="11">
        <v>10.5</v>
      </c>
      <c r="H468" s="13">
        <f t="shared" si="209"/>
        <v>1750</v>
      </c>
      <c r="I468" s="13">
        <f t="shared" si="198"/>
        <v>0</v>
      </c>
      <c r="J468" s="13">
        <f t="shared" si="213"/>
        <v>87.5</v>
      </c>
      <c r="L468" s="13">
        <f t="shared" si="210"/>
        <v>280</v>
      </c>
      <c r="N468" s="13">
        <f t="shared" si="211"/>
        <v>1716.4</v>
      </c>
      <c r="Q468" s="13">
        <f t="shared" si="212"/>
        <v>3833.9</v>
      </c>
      <c r="R468" s="12">
        <f t="shared" si="194"/>
        <v>210</v>
      </c>
      <c r="S468" s="12">
        <f t="shared" si="208"/>
        <v>68</v>
      </c>
      <c r="T468" s="21">
        <v>0</v>
      </c>
      <c r="U468" s="13">
        <v>0</v>
      </c>
      <c r="V468" s="13">
        <f t="shared" si="206"/>
        <v>278</v>
      </c>
      <c r="W468" s="13">
        <f t="shared" si="195"/>
        <v>3555.9</v>
      </c>
      <c r="Y468" s="13">
        <f t="shared" si="199"/>
        <v>3555.9</v>
      </c>
      <c r="Z468" s="12">
        <f t="shared" si="188"/>
        <v>230.125</v>
      </c>
      <c r="AA468" s="12">
        <f t="shared" si="196"/>
        <v>183</v>
      </c>
      <c r="AB468" s="1">
        <f t="shared" si="200"/>
        <v>0</v>
      </c>
      <c r="AC468" s="16">
        <f t="shared" si="204"/>
        <v>413.125</v>
      </c>
      <c r="AD468" s="16">
        <f t="shared" si="197"/>
        <v>4247.0249999999996</v>
      </c>
    </row>
    <row r="469" spans="1:30" x14ac:dyDescent="0.2">
      <c r="A469" s="10" t="s">
        <v>315</v>
      </c>
      <c r="C469" s="11" t="s">
        <v>1352</v>
      </c>
      <c r="D469" s="19" t="s">
        <v>50</v>
      </c>
      <c r="E469" s="11" t="s">
        <v>234</v>
      </c>
      <c r="F469" s="22">
        <v>43019</v>
      </c>
      <c r="G469" s="11">
        <v>23</v>
      </c>
      <c r="H469" s="13">
        <f t="shared" si="209"/>
        <v>3833.333333333333</v>
      </c>
      <c r="I469" s="13">
        <f t="shared" si="198"/>
        <v>0</v>
      </c>
      <c r="J469" s="13">
        <f t="shared" si="213"/>
        <v>191.66666666666666</v>
      </c>
      <c r="L469" s="13">
        <f t="shared" si="210"/>
        <v>613.33333333333337</v>
      </c>
      <c r="N469" s="13">
        <f t="shared" si="211"/>
        <v>3759.7333333333336</v>
      </c>
      <c r="Q469" s="13">
        <f t="shared" si="212"/>
        <v>8398.0666666666657</v>
      </c>
      <c r="R469" s="12">
        <f t="shared" si="194"/>
        <v>459.99999999999994</v>
      </c>
      <c r="S469" s="12">
        <f t="shared" si="208"/>
        <v>147</v>
      </c>
      <c r="T469" s="21">
        <v>0</v>
      </c>
      <c r="U469" s="13">
        <v>0</v>
      </c>
      <c r="V469" s="13">
        <f t="shared" si="206"/>
        <v>607</v>
      </c>
      <c r="W469" s="13">
        <f t="shared" si="195"/>
        <v>7791.0666666666657</v>
      </c>
      <c r="Y469" s="13">
        <f t="shared" si="199"/>
        <v>7791.0666666666657</v>
      </c>
      <c r="Z469" s="12">
        <f t="shared" si="188"/>
        <v>504.08333333333331</v>
      </c>
      <c r="AA469" s="12">
        <f t="shared" si="196"/>
        <v>399</v>
      </c>
      <c r="AB469" s="1">
        <f t="shared" si="200"/>
        <v>0</v>
      </c>
      <c r="AC469" s="16">
        <f t="shared" si="204"/>
        <v>903.08333333333326</v>
      </c>
      <c r="AD469" s="16">
        <f t="shared" si="197"/>
        <v>9301.15</v>
      </c>
    </row>
    <row r="470" spans="1:30" x14ac:dyDescent="0.2">
      <c r="A470" s="10" t="s">
        <v>315</v>
      </c>
      <c r="C470" s="11" t="s">
        <v>1353</v>
      </c>
      <c r="D470" s="19" t="s">
        <v>50</v>
      </c>
      <c r="E470" s="11" t="s">
        <v>234</v>
      </c>
      <c r="F470" s="22">
        <v>43019</v>
      </c>
      <c r="G470" s="11">
        <v>21</v>
      </c>
      <c r="H470" s="13">
        <f t="shared" si="209"/>
        <v>3500</v>
      </c>
      <c r="I470" s="13">
        <f t="shared" si="198"/>
        <v>0</v>
      </c>
      <c r="J470" s="13">
        <f t="shared" si="213"/>
        <v>175</v>
      </c>
      <c r="L470" s="13">
        <f t="shared" si="210"/>
        <v>560</v>
      </c>
      <c r="N470" s="13">
        <f t="shared" si="211"/>
        <v>3432.8</v>
      </c>
      <c r="Q470" s="13">
        <f t="shared" si="212"/>
        <v>7667.8</v>
      </c>
      <c r="R470" s="12">
        <f t="shared" si="194"/>
        <v>420</v>
      </c>
      <c r="S470" s="12">
        <f t="shared" si="208"/>
        <v>135</v>
      </c>
      <c r="T470" s="21">
        <v>0</v>
      </c>
      <c r="U470" s="13">
        <v>0</v>
      </c>
      <c r="V470" s="13">
        <f t="shared" si="206"/>
        <v>555</v>
      </c>
      <c r="W470" s="13">
        <f t="shared" si="195"/>
        <v>7112.8</v>
      </c>
      <c r="Y470" s="13">
        <f t="shared" si="199"/>
        <v>7112.8</v>
      </c>
      <c r="Z470" s="12">
        <f t="shared" si="188"/>
        <v>460.25</v>
      </c>
      <c r="AA470" s="12">
        <f t="shared" si="196"/>
        <v>365</v>
      </c>
      <c r="AB470" s="1">
        <f t="shared" si="200"/>
        <v>0</v>
      </c>
      <c r="AC470" s="16">
        <f t="shared" si="204"/>
        <v>825.25</v>
      </c>
      <c r="AD470" s="16">
        <f t="shared" si="197"/>
        <v>8493.0499999999993</v>
      </c>
    </row>
    <row r="471" spans="1:30" x14ac:dyDescent="0.2">
      <c r="A471" s="10" t="s">
        <v>315</v>
      </c>
      <c r="C471" s="11" t="s">
        <v>1354</v>
      </c>
      <c r="D471" s="19" t="s">
        <v>50</v>
      </c>
      <c r="E471" s="11" t="s">
        <v>234</v>
      </c>
      <c r="F471" s="22">
        <v>43019</v>
      </c>
      <c r="G471" s="11">
        <v>19</v>
      </c>
      <c r="H471" s="13">
        <f t="shared" si="209"/>
        <v>3166.6666666666665</v>
      </c>
      <c r="I471" s="13">
        <f t="shared" si="198"/>
        <v>0</v>
      </c>
      <c r="J471" s="13">
        <f t="shared" si="213"/>
        <v>158.33333333333334</v>
      </c>
      <c r="L471" s="13">
        <f t="shared" si="210"/>
        <v>506.66666666666669</v>
      </c>
      <c r="N471" s="13">
        <f t="shared" si="211"/>
        <v>3105.8666666666668</v>
      </c>
      <c r="Q471" s="13">
        <f t="shared" si="212"/>
        <v>6937.5333333333328</v>
      </c>
      <c r="R471" s="12">
        <f t="shared" si="194"/>
        <v>379.99999999999994</v>
      </c>
      <c r="S471" s="12">
        <f t="shared" si="208"/>
        <v>122</v>
      </c>
      <c r="T471" s="21">
        <v>0</v>
      </c>
      <c r="U471" s="13">
        <v>0</v>
      </c>
      <c r="V471" s="13">
        <f t="shared" si="206"/>
        <v>501.99999999999994</v>
      </c>
      <c r="W471" s="13">
        <f t="shared" si="195"/>
        <v>6435.5333333333328</v>
      </c>
      <c r="Y471" s="13">
        <f t="shared" si="199"/>
        <v>6435.5333333333328</v>
      </c>
      <c r="Z471" s="12">
        <f t="shared" si="188"/>
        <v>416.41666666666669</v>
      </c>
      <c r="AA471" s="12">
        <f t="shared" si="196"/>
        <v>330</v>
      </c>
      <c r="AB471" s="1">
        <f t="shared" si="200"/>
        <v>0</v>
      </c>
      <c r="AC471" s="16">
        <f t="shared" si="204"/>
        <v>746.41666666666674</v>
      </c>
      <c r="AD471" s="16">
        <f t="shared" si="197"/>
        <v>7683.95</v>
      </c>
    </row>
    <row r="472" spans="1:30" x14ac:dyDescent="0.2">
      <c r="A472" s="10" t="s">
        <v>315</v>
      </c>
      <c r="C472" s="11" t="s">
        <v>1355</v>
      </c>
      <c r="D472" s="19" t="s">
        <v>50</v>
      </c>
      <c r="E472" s="11" t="s">
        <v>234</v>
      </c>
      <c r="F472" s="22">
        <v>43034</v>
      </c>
      <c r="G472" s="11">
        <v>4</v>
      </c>
      <c r="H472" s="13">
        <f t="shared" si="209"/>
        <v>666.66666666666663</v>
      </c>
      <c r="I472" s="13">
        <f t="shared" si="198"/>
        <v>0</v>
      </c>
      <c r="J472" s="13">
        <f t="shared" si="213"/>
        <v>33.333333333333336</v>
      </c>
      <c r="L472" s="13">
        <f t="shared" si="210"/>
        <v>106.66666666666667</v>
      </c>
      <c r="N472" s="13">
        <f t="shared" si="211"/>
        <v>653.86666666666667</v>
      </c>
      <c r="Q472" s="13">
        <f t="shared" si="212"/>
        <v>1460.5333333333333</v>
      </c>
      <c r="R472" s="12">
        <f t="shared" si="194"/>
        <v>79.999999999999986</v>
      </c>
      <c r="S472" s="12">
        <f t="shared" si="208"/>
        <v>26</v>
      </c>
      <c r="T472" s="21">
        <v>0</v>
      </c>
      <c r="U472" s="13">
        <v>0</v>
      </c>
      <c r="V472" s="13">
        <f t="shared" si="206"/>
        <v>105.99999999999999</v>
      </c>
      <c r="W472" s="13">
        <f t="shared" si="195"/>
        <v>1354.5333333333333</v>
      </c>
      <c r="Y472" s="13">
        <f t="shared" si="199"/>
        <v>1354.5333333333333</v>
      </c>
      <c r="Z472" s="12">
        <f t="shared" si="188"/>
        <v>87.666666666666671</v>
      </c>
      <c r="AA472" s="12">
        <f t="shared" si="196"/>
        <v>70</v>
      </c>
      <c r="AB472" s="1">
        <f t="shared" si="200"/>
        <v>0</v>
      </c>
      <c r="AC472" s="16">
        <f t="shared" si="204"/>
        <v>157.66666666666669</v>
      </c>
      <c r="AD472" s="16">
        <f t="shared" si="197"/>
        <v>1618.2</v>
      </c>
    </row>
    <row r="473" spans="1:30" x14ac:dyDescent="0.2">
      <c r="A473" s="10" t="s">
        <v>315</v>
      </c>
      <c r="C473" s="11" t="s">
        <v>84</v>
      </c>
      <c r="D473" s="19" t="s">
        <v>50</v>
      </c>
      <c r="E473" s="11" t="s">
        <v>234</v>
      </c>
      <c r="F473" s="22">
        <v>43034</v>
      </c>
      <c r="G473" s="11">
        <v>7</v>
      </c>
      <c r="H473" s="13">
        <f t="shared" si="209"/>
        <v>1166.6666666666665</v>
      </c>
      <c r="I473" s="13">
        <f t="shared" si="198"/>
        <v>0</v>
      </c>
      <c r="J473" s="13">
        <f t="shared" si="213"/>
        <v>58.333333333333329</v>
      </c>
      <c r="L473" s="13">
        <f t="shared" si="210"/>
        <v>186.66666666666669</v>
      </c>
      <c r="N473" s="13">
        <f t="shared" si="211"/>
        <v>1144.2666666666667</v>
      </c>
      <c r="Q473" s="13">
        <f t="shared" si="212"/>
        <v>2555.9333333333334</v>
      </c>
      <c r="R473" s="12">
        <f t="shared" si="194"/>
        <v>139.99999999999997</v>
      </c>
      <c r="S473" s="12">
        <f t="shared" si="208"/>
        <v>45</v>
      </c>
      <c r="T473" s="21">
        <v>0</v>
      </c>
      <c r="U473" s="13">
        <v>0</v>
      </c>
      <c r="V473" s="13">
        <f t="shared" si="206"/>
        <v>184.99999999999997</v>
      </c>
      <c r="W473" s="13">
        <f t="shared" si="195"/>
        <v>2370.9333333333334</v>
      </c>
      <c r="Y473" s="13">
        <f t="shared" si="199"/>
        <v>2370.9333333333334</v>
      </c>
      <c r="Z473" s="12">
        <f t="shared" si="188"/>
        <v>153.41666666666666</v>
      </c>
      <c r="AA473" s="12">
        <f t="shared" si="196"/>
        <v>122</v>
      </c>
      <c r="AB473" s="1">
        <f t="shared" si="200"/>
        <v>0</v>
      </c>
      <c r="AC473" s="16">
        <f t="shared" si="204"/>
        <v>275.41666666666663</v>
      </c>
      <c r="AD473" s="16">
        <f t="shared" si="197"/>
        <v>2831.35</v>
      </c>
    </row>
    <row r="474" spans="1:30" x14ac:dyDescent="0.2">
      <c r="A474" s="10" t="s">
        <v>315</v>
      </c>
      <c r="C474" s="11" t="s">
        <v>1356</v>
      </c>
      <c r="D474" s="19" t="s">
        <v>50</v>
      </c>
      <c r="E474" s="11" t="s">
        <v>234</v>
      </c>
      <c r="F474" s="22">
        <v>43034</v>
      </c>
      <c r="G474" s="11">
        <v>7</v>
      </c>
      <c r="H474" s="13">
        <f t="shared" si="209"/>
        <v>1166.6666666666665</v>
      </c>
      <c r="I474" s="13">
        <f t="shared" si="198"/>
        <v>0</v>
      </c>
      <c r="J474" s="13">
        <f t="shared" si="213"/>
        <v>58.333333333333329</v>
      </c>
      <c r="L474" s="13">
        <f t="shared" si="210"/>
        <v>186.66666666666669</v>
      </c>
      <c r="N474" s="13">
        <f t="shared" si="211"/>
        <v>1144.2666666666667</v>
      </c>
      <c r="Q474" s="13">
        <f t="shared" si="212"/>
        <v>2555.9333333333334</v>
      </c>
      <c r="R474" s="12">
        <f t="shared" si="194"/>
        <v>139.99999999999997</v>
      </c>
      <c r="S474" s="12">
        <f t="shared" si="208"/>
        <v>45</v>
      </c>
      <c r="T474" s="21">
        <v>0</v>
      </c>
      <c r="U474" s="13">
        <v>0</v>
      </c>
      <c r="V474" s="13">
        <f t="shared" si="206"/>
        <v>184.99999999999997</v>
      </c>
      <c r="W474" s="13">
        <f t="shared" si="195"/>
        <v>2370.9333333333334</v>
      </c>
      <c r="Y474" s="13">
        <f t="shared" si="199"/>
        <v>2370.9333333333334</v>
      </c>
      <c r="Z474" s="12">
        <f t="shared" si="188"/>
        <v>153.41666666666666</v>
      </c>
      <c r="AA474" s="12">
        <f t="shared" si="196"/>
        <v>122</v>
      </c>
      <c r="AB474" s="1">
        <f t="shared" si="200"/>
        <v>0</v>
      </c>
      <c r="AC474" s="16">
        <f t="shared" si="204"/>
        <v>275.41666666666663</v>
      </c>
      <c r="AD474" s="16">
        <f t="shared" si="197"/>
        <v>2831.35</v>
      </c>
    </row>
    <row r="475" spans="1:30" x14ac:dyDescent="0.2">
      <c r="A475" s="10" t="s">
        <v>315</v>
      </c>
      <c r="C475" s="11" t="s">
        <v>1357</v>
      </c>
      <c r="D475" s="19" t="s">
        <v>50</v>
      </c>
      <c r="E475" s="11" t="s">
        <v>484</v>
      </c>
      <c r="F475" s="22">
        <v>43009</v>
      </c>
      <c r="G475" s="11">
        <v>20</v>
      </c>
      <c r="H475" s="13">
        <f t="shared" si="209"/>
        <v>3333.333333333333</v>
      </c>
      <c r="I475" s="13">
        <f t="shared" si="198"/>
        <v>0</v>
      </c>
      <c r="J475" s="13">
        <f t="shared" si="213"/>
        <v>166.66666666666666</v>
      </c>
      <c r="L475" s="13">
        <f t="shared" si="210"/>
        <v>533.33333333333337</v>
      </c>
      <c r="N475" s="13">
        <f t="shared" ref="N475:N481" si="214">((1950+1441-178+706+0)/30)*G475</f>
        <v>2612.6666666666665</v>
      </c>
      <c r="Q475" s="13">
        <f t="shared" si="212"/>
        <v>6646</v>
      </c>
      <c r="R475" s="12">
        <f t="shared" si="194"/>
        <v>399.99999999999994</v>
      </c>
      <c r="S475" s="12">
        <f t="shared" si="208"/>
        <v>117</v>
      </c>
      <c r="T475" s="21">
        <v>0</v>
      </c>
      <c r="U475" s="13">
        <v>0</v>
      </c>
      <c r="V475" s="13">
        <f t="shared" si="206"/>
        <v>517</v>
      </c>
      <c r="W475" s="13">
        <f t="shared" si="195"/>
        <v>6129</v>
      </c>
      <c r="Y475" s="13">
        <f t="shared" si="199"/>
        <v>6129</v>
      </c>
      <c r="Z475" s="12">
        <f t="shared" si="188"/>
        <v>438.33333333333331</v>
      </c>
      <c r="AA475" s="12">
        <f t="shared" si="196"/>
        <v>316</v>
      </c>
      <c r="AB475" s="1">
        <f t="shared" si="200"/>
        <v>0</v>
      </c>
      <c r="AC475" s="16">
        <f t="shared" si="204"/>
        <v>754.33333333333326</v>
      </c>
      <c r="AD475" s="16">
        <f t="shared" si="197"/>
        <v>7400.333333333333</v>
      </c>
    </row>
    <row r="476" spans="1:30" x14ac:dyDescent="0.2">
      <c r="A476" s="10" t="s">
        <v>315</v>
      </c>
      <c r="C476" s="11" t="s">
        <v>1358</v>
      </c>
      <c r="D476" s="19" t="s">
        <v>50</v>
      </c>
      <c r="E476" s="11" t="s">
        <v>484</v>
      </c>
      <c r="F476" s="22">
        <v>43009</v>
      </c>
      <c r="G476" s="11">
        <v>28</v>
      </c>
      <c r="H476" s="13">
        <f t="shared" si="209"/>
        <v>4666.6666666666661</v>
      </c>
      <c r="I476" s="13">
        <f t="shared" si="198"/>
        <v>0</v>
      </c>
      <c r="J476" s="13">
        <f t="shared" si="213"/>
        <v>233.33333333333331</v>
      </c>
      <c r="L476" s="13">
        <f t="shared" si="210"/>
        <v>746.66666666666674</v>
      </c>
      <c r="N476" s="13">
        <f t="shared" si="214"/>
        <v>3657.7333333333331</v>
      </c>
      <c r="Q476" s="13">
        <f t="shared" si="212"/>
        <v>9304.4</v>
      </c>
      <c r="R476" s="12">
        <f t="shared" si="194"/>
        <v>559.99999999999989</v>
      </c>
      <c r="S476" s="12">
        <f t="shared" si="208"/>
        <v>163</v>
      </c>
      <c r="T476" s="21">
        <v>0</v>
      </c>
      <c r="U476" s="13">
        <v>0</v>
      </c>
      <c r="V476" s="13">
        <f t="shared" si="206"/>
        <v>722.99999999999989</v>
      </c>
      <c r="W476" s="13">
        <f t="shared" si="195"/>
        <v>8581.4</v>
      </c>
      <c r="Y476" s="13">
        <f t="shared" si="199"/>
        <v>8581.4</v>
      </c>
      <c r="Z476" s="12">
        <f t="shared" si="188"/>
        <v>613.66666666666663</v>
      </c>
      <c r="AA476" s="12">
        <f t="shared" si="196"/>
        <v>442</v>
      </c>
      <c r="AB476" s="1">
        <f t="shared" si="200"/>
        <v>0</v>
      </c>
      <c r="AC476" s="16">
        <f t="shared" si="204"/>
        <v>1055.6666666666665</v>
      </c>
      <c r="AD476" s="16">
        <f t="shared" si="197"/>
        <v>10360.066666666666</v>
      </c>
    </row>
    <row r="477" spans="1:30" x14ac:dyDescent="0.2">
      <c r="A477" s="10" t="s">
        <v>315</v>
      </c>
      <c r="C477" s="11" t="s">
        <v>1359</v>
      </c>
      <c r="D477" s="19" t="s">
        <v>50</v>
      </c>
      <c r="E477" s="11" t="s">
        <v>484</v>
      </c>
      <c r="F477" s="22">
        <v>43009</v>
      </c>
      <c r="G477" s="11">
        <v>11</v>
      </c>
      <c r="H477" s="13">
        <f t="shared" si="209"/>
        <v>1833.3333333333333</v>
      </c>
      <c r="I477" s="13">
        <f t="shared" si="198"/>
        <v>0</v>
      </c>
      <c r="J477" s="13">
        <f t="shared" si="213"/>
        <v>91.666666666666671</v>
      </c>
      <c r="L477" s="13">
        <f t="shared" si="210"/>
        <v>293.33333333333337</v>
      </c>
      <c r="N477" s="13">
        <f t="shared" si="214"/>
        <v>1436.9666666666667</v>
      </c>
      <c r="Q477" s="13">
        <f t="shared" si="212"/>
        <v>3655.3</v>
      </c>
      <c r="R477" s="12">
        <f t="shared" si="194"/>
        <v>219.99999999999997</v>
      </c>
      <c r="S477" s="12">
        <f t="shared" si="208"/>
        <v>64</v>
      </c>
      <c r="T477" s="21">
        <v>0</v>
      </c>
      <c r="U477" s="13">
        <v>0</v>
      </c>
      <c r="V477" s="13">
        <f t="shared" si="206"/>
        <v>284</v>
      </c>
      <c r="W477" s="13">
        <f t="shared" si="195"/>
        <v>3371.3</v>
      </c>
      <c r="Y477" s="13">
        <f t="shared" si="199"/>
        <v>3371.3</v>
      </c>
      <c r="Z477" s="12">
        <f t="shared" si="188"/>
        <v>241.08333333333334</v>
      </c>
      <c r="AA477" s="12">
        <f t="shared" si="196"/>
        <v>174</v>
      </c>
      <c r="AB477" s="1">
        <f t="shared" si="200"/>
        <v>0</v>
      </c>
      <c r="AC477" s="16">
        <f t="shared" si="204"/>
        <v>415.08333333333337</v>
      </c>
      <c r="AD477" s="16">
        <f t="shared" si="197"/>
        <v>4070.3833333333337</v>
      </c>
    </row>
    <row r="478" spans="1:30" x14ac:dyDescent="0.2">
      <c r="A478" s="10" t="s">
        <v>315</v>
      </c>
      <c r="C478" s="11" t="s">
        <v>1360</v>
      </c>
      <c r="D478" s="19" t="s">
        <v>50</v>
      </c>
      <c r="E478" s="11" t="s">
        <v>484</v>
      </c>
      <c r="F478" s="22">
        <v>43009</v>
      </c>
      <c r="G478" s="11">
        <v>35</v>
      </c>
      <c r="H478" s="13">
        <f t="shared" si="209"/>
        <v>5833.333333333333</v>
      </c>
      <c r="I478" s="13">
        <f t="shared" si="198"/>
        <v>0</v>
      </c>
      <c r="J478" s="13">
        <f t="shared" si="213"/>
        <v>291.66666666666669</v>
      </c>
      <c r="L478" s="13">
        <f t="shared" si="210"/>
        <v>933.33333333333337</v>
      </c>
      <c r="N478" s="13">
        <f t="shared" si="214"/>
        <v>4572.1666666666661</v>
      </c>
      <c r="Q478" s="13">
        <f t="shared" si="212"/>
        <v>11630.5</v>
      </c>
      <c r="R478" s="12">
        <f t="shared" si="194"/>
        <v>699.99999999999989</v>
      </c>
      <c r="S478" s="12">
        <f t="shared" si="208"/>
        <v>204</v>
      </c>
      <c r="T478" s="21">
        <v>0</v>
      </c>
      <c r="U478" s="13">
        <v>0</v>
      </c>
      <c r="V478" s="13">
        <f t="shared" si="206"/>
        <v>903.99999999999989</v>
      </c>
      <c r="W478" s="13">
        <f t="shared" si="195"/>
        <v>10726.5</v>
      </c>
      <c r="Y478" s="13">
        <f t="shared" si="199"/>
        <v>10726.5</v>
      </c>
      <c r="Z478" s="12">
        <f t="shared" si="188"/>
        <v>767.08333333333337</v>
      </c>
      <c r="AA478" s="12">
        <f t="shared" si="196"/>
        <v>553</v>
      </c>
      <c r="AB478" s="1">
        <f t="shared" si="200"/>
        <v>0</v>
      </c>
      <c r="AC478" s="16">
        <f t="shared" si="204"/>
        <v>1320.0833333333335</v>
      </c>
      <c r="AD478" s="16">
        <f t="shared" si="197"/>
        <v>12950.583333333334</v>
      </c>
    </row>
    <row r="479" spans="1:30" x14ac:dyDescent="0.2">
      <c r="A479" s="10" t="s">
        <v>315</v>
      </c>
      <c r="C479" s="11" t="s">
        <v>1361</v>
      </c>
      <c r="D479" s="19" t="s">
        <v>50</v>
      </c>
      <c r="E479" s="11" t="s">
        <v>484</v>
      </c>
      <c r="F479" s="22">
        <v>43033</v>
      </c>
      <c r="G479" s="11">
        <v>7</v>
      </c>
      <c r="H479" s="13">
        <f t="shared" si="209"/>
        <v>1166.6666666666665</v>
      </c>
      <c r="I479" s="13">
        <f t="shared" si="198"/>
        <v>0</v>
      </c>
      <c r="J479" s="13">
        <f t="shared" si="213"/>
        <v>58.333333333333329</v>
      </c>
      <c r="L479" s="13">
        <f t="shared" si="210"/>
        <v>186.66666666666669</v>
      </c>
      <c r="N479" s="13">
        <f t="shared" si="214"/>
        <v>914.43333333333328</v>
      </c>
      <c r="Q479" s="13">
        <f t="shared" si="212"/>
        <v>2326.1</v>
      </c>
      <c r="R479" s="12">
        <f t="shared" si="194"/>
        <v>139.99999999999997</v>
      </c>
      <c r="S479" s="12">
        <f t="shared" si="208"/>
        <v>41</v>
      </c>
      <c r="T479" s="21">
        <v>0</v>
      </c>
      <c r="U479" s="13">
        <v>0</v>
      </c>
      <c r="V479" s="13">
        <f t="shared" si="206"/>
        <v>180.99999999999997</v>
      </c>
      <c r="W479" s="13">
        <f t="shared" si="195"/>
        <v>2145.1</v>
      </c>
      <c r="Y479" s="13">
        <f t="shared" si="199"/>
        <v>2145.1</v>
      </c>
      <c r="Z479" s="12">
        <f t="shared" si="188"/>
        <v>153.41666666666666</v>
      </c>
      <c r="AA479" s="12">
        <f t="shared" si="196"/>
        <v>111</v>
      </c>
      <c r="AB479" s="1">
        <f t="shared" si="200"/>
        <v>0</v>
      </c>
      <c r="AC479" s="16">
        <f t="shared" si="204"/>
        <v>264.41666666666663</v>
      </c>
      <c r="AD479" s="16">
        <f t="shared" si="197"/>
        <v>2590.5166666666664</v>
      </c>
    </row>
    <row r="480" spans="1:30" x14ac:dyDescent="0.2">
      <c r="A480" s="10" t="s">
        <v>315</v>
      </c>
      <c r="C480" s="11" t="s">
        <v>1362</v>
      </c>
      <c r="D480" s="19" t="s">
        <v>50</v>
      </c>
      <c r="E480" s="11" t="s">
        <v>484</v>
      </c>
      <c r="F480" s="22">
        <v>43033</v>
      </c>
      <c r="G480" s="11">
        <v>8</v>
      </c>
      <c r="H480" s="13">
        <f t="shared" si="209"/>
        <v>1333.3333333333333</v>
      </c>
      <c r="I480" s="13">
        <f t="shared" si="198"/>
        <v>0</v>
      </c>
      <c r="J480" s="13">
        <f t="shared" si="213"/>
        <v>66.666666666666671</v>
      </c>
      <c r="L480" s="13">
        <f t="shared" si="210"/>
        <v>213.33333333333334</v>
      </c>
      <c r="N480" s="13">
        <f t="shared" si="214"/>
        <v>1045.0666666666666</v>
      </c>
      <c r="Q480" s="13">
        <f t="shared" si="212"/>
        <v>2658.3999999999996</v>
      </c>
      <c r="R480" s="12">
        <f t="shared" si="194"/>
        <v>159.99999999999997</v>
      </c>
      <c r="S480" s="12">
        <f t="shared" si="208"/>
        <v>47</v>
      </c>
      <c r="T480" s="21">
        <v>0</v>
      </c>
      <c r="U480" s="13">
        <v>0</v>
      </c>
      <c r="V480" s="13">
        <f t="shared" si="206"/>
        <v>206.99999999999997</v>
      </c>
      <c r="W480" s="13">
        <f t="shared" si="195"/>
        <v>2451.3999999999996</v>
      </c>
      <c r="Y480" s="13">
        <f t="shared" si="199"/>
        <v>2451.3999999999996</v>
      </c>
      <c r="Z480" s="12">
        <f t="shared" si="188"/>
        <v>175.33333333333334</v>
      </c>
      <c r="AA480" s="12">
        <f t="shared" si="196"/>
        <v>127</v>
      </c>
      <c r="AB480" s="1">
        <f t="shared" si="200"/>
        <v>0</v>
      </c>
      <c r="AC480" s="16">
        <f t="shared" si="204"/>
        <v>302.33333333333337</v>
      </c>
      <c r="AD480" s="16">
        <f t="shared" si="197"/>
        <v>2960.7333333333331</v>
      </c>
    </row>
    <row r="481" spans="1:30" x14ac:dyDescent="0.2">
      <c r="A481" s="10" t="s">
        <v>315</v>
      </c>
      <c r="C481" s="11" t="s">
        <v>384</v>
      </c>
      <c r="D481" s="19" t="s">
        <v>50</v>
      </c>
      <c r="E481" s="11" t="s">
        <v>484</v>
      </c>
      <c r="F481" s="22">
        <v>43032</v>
      </c>
      <c r="G481" s="11">
        <v>9</v>
      </c>
      <c r="H481" s="13">
        <f t="shared" si="209"/>
        <v>1500</v>
      </c>
      <c r="I481" s="13">
        <f t="shared" si="198"/>
        <v>0</v>
      </c>
      <c r="J481" s="13">
        <f t="shared" si="213"/>
        <v>75</v>
      </c>
      <c r="L481" s="13">
        <f t="shared" si="210"/>
        <v>240</v>
      </c>
      <c r="N481" s="13">
        <f t="shared" si="214"/>
        <v>1175.6999999999998</v>
      </c>
      <c r="Q481" s="13">
        <f t="shared" si="212"/>
        <v>2990.7</v>
      </c>
      <c r="R481" s="12">
        <f t="shared" si="194"/>
        <v>180</v>
      </c>
      <c r="S481" s="12">
        <f t="shared" si="208"/>
        <v>53</v>
      </c>
      <c r="T481" s="21">
        <v>0</v>
      </c>
      <c r="U481" s="13">
        <v>0</v>
      </c>
      <c r="V481" s="13">
        <f t="shared" si="206"/>
        <v>233</v>
      </c>
      <c r="W481" s="13">
        <f t="shared" si="195"/>
        <v>2757.7</v>
      </c>
      <c r="Y481" s="13">
        <f t="shared" si="199"/>
        <v>2757.7</v>
      </c>
      <c r="Z481" s="12">
        <f t="shared" si="188"/>
        <v>197.25</v>
      </c>
      <c r="AA481" s="12">
        <f t="shared" si="196"/>
        <v>143</v>
      </c>
      <c r="AB481" s="1">
        <f t="shared" si="200"/>
        <v>0</v>
      </c>
      <c r="AC481" s="16">
        <f t="shared" si="204"/>
        <v>340.25</v>
      </c>
      <c r="AD481" s="16">
        <f t="shared" si="197"/>
        <v>3330.95</v>
      </c>
    </row>
    <row r="482" spans="1:30" x14ac:dyDescent="0.2">
      <c r="A482" s="10" t="s">
        <v>315</v>
      </c>
      <c r="C482" s="11" t="s">
        <v>1363</v>
      </c>
      <c r="D482" s="19" t="s">
        <v>50</v>
      </c>
      <c r="E482" s="11" t="s">
        <v>238</v>
      </c>
      <c r="F482" s="22">
        <v>43014</v>
      </c>
      <c r="G482" s="11">
        <v>29</v>
      </c>
      <c r="H482" s="13">
        <f t="shared" si="209"/>
        <v>4833.333333333333</v>
      </c>
      <c r="I482" s="13">
        <f t="shared" si="198"/>
        <v>0</v>
      </c>
      <c r="J482" s="13">
        <f t="shared" si="213"/>
        <v>241.66666666666666</v>
      </c>
      <c r="L482" s="13">
        <f t="shared" si="210"/>
        <v>773.33333333333337</v>
      </c>
      <c r="N482" s="13">
        <f t="shared" si="211"/>
        <v>4740.5333333333338</v>
      </c>
      <c r="Q482" s="13">
        <f t="shared" si="212"/>
        <v>10588.866666666667</v>
      </c>
      <c r="R482" s="12">
        <f t="shared" si="194"/>
        <v>579.99999999999989</v>
      </c>
      <c r="S482" s="12">
        <f t="shared" si="208"/>
        <v>186</v>
      </c>
      <c r="T482" s="21">
        <v>0</v>
      </c>
      <c r="U482" s="13">
        <v>0</v>
      </c>
      <c r="V482" s="13">
        <f t="shared" si="206"/>
        <v>765.99999999999989</v>
      </c>
      <c r="W482" s="13">
        <f t="shared" si="195"/>
        <v>9822.8666666666668</v>
      </c>
      <c r="Y482" s="13">
        <f t="shared" si="199"/>
        <v>9822.8666666666668</v>
      </c>
      <c r="Z482" s="12">
        <f t="shared" si="188"/>
        <v>635.58333333333337</v>
      </c>
      <c r="AA482" s="12">
        <f t="shared" si="196"/>
        <v>503</v>
      </c>
      <c r="AB482" s="1">
        <f t="shared" si="200"/>
        <v>0</v>
      </c>
      <c r="AC482" s="16">
        <f t="shared" si="204"/>
        <v>1138.5833333333335</v>
      </c>
      <c r="AD482" s="16">
        <f t="shared" si="197"/>
        <v>11727.45</v>
      </c>
    </row>
    <row r="483" spans="1:30" x14ac:dyDescent="0.2">
      <c r="A483" s="10" t="s">
        <v>315</v>
      </c>
      <c r="C483" s="11" t="s">
        <v>1364</v>
      </c>
      <c r="D483" s="19" t="s">
        <v>50</v>
      </c>
      <c r="E483" s="11" t="s">
        <v>238</v>
      </c>
      <c r="F483" s="22">
        <v>43014</v>
      </c>
      <c r="G483" s="11">
        <v>29</v>
      </c>
      <c r="H483" s="13">
        <f t="shared" si="209"/>
        <v>4833.333333333333</v>
      </c>
      <c r="I483" s="13">
        <f t="shared" si="198"/>
        <v>0</v>
      </c>
      <c r="J483" s="13">
        <f t="shared" si="213"/>
        <v>241.66666666666666</v>
      </c>
      <c r="L483" s="13">
        <f t="shared" si="210"/>
        <v>773.33333333333337</v>
      </c>
      <c r="N483" s="13">
        <f t="shared" si="211"/>
        <v>4740.5333333333338</v>
      </c>
      <c r="Q483" s="13">
        <f t="shared" si="212"/>
        <v>10588.866666666667</v>
      </c>
      <c r="R483" s="12">
        <f t="shared" si="194"/>
        <v>579.99999999999989</v>
      </c>
      <c r="S483" s="12">
        <f t="shared" si="208"/>
        <v>186</v>
      </c>
      <c r="T483" s="21">
        <v>0</v>
      </c>
      <c r="U483" s="13">
        <v>0</v>
      </c>
      <c r="V483" s="13">
        <f t="shared" si="206"/>
        <v>765.99999999999989</v>
      </c>
      <c r="W483" s="13">
        <f t="shared" si="195"/>
        <v>9822.8666666666668</v>
      </c>
      <c r="Y483" s="13">
        <f t="shared" si="199"/>
        <v>9822.8666666666668</v>
      </c>
      <c r="Z483" s="12">
        <f t="shared" si="188"/>
        <v>635.58333333333337</v>
      </c>
      <c r="AA483" s="12">
        <f t="shared" si="196"/>
        <v>503</v>
      </c>
      <c r="AB483" s="1">
        <f t="shared" si="200"/>
        <v>0</v>
      </c>
      <c r="AC483" s="16">
        <f t="shared" si="204"/>
        <v>1138.5833333333335</v>
      </c>
      <c r="AD483" s="16">
        <f t="shared" si="197"/>
        <v>11727.45</v>
      </c>
    </row>
    <row r="484" spans="1:30" x14ac:dyDescent="0.2">
      <c r="A484" s="10" t="s">
        <v>315</v>
      </c>
      <c r="C484" s="11" t="s">
        <v>537</v>
      </c>
      <c r="D484" s="19" t="s">
        <v>50</v>
      </c>
      <c r="E484" s="11" t="s">
        <v>238</v>
      </c>
      <c r="F484" s="22">
        <v>43024</v>
      </c>
      <c r="G484" s="11">
        <v>12.5</v>
      </c>
      <c r="H484" s="13">
        <f t="shared" si="209"/>
        <v>2083.333333333333</v>
      </c>
      <c r="I484" s="13">
        <f t="shared" si="198"/>
        <v>0</v>
      </c>
      <c r="J484" s="13">
        <f t="shared" si="213"/>
        <v>104.16666666666666</v>
      </c>
      <c r="L484" s="13">
        <f t="shared" si="210"/>
        <v>333.33333333333337</v>
      </c>
      <c r="N484" s="13">
        <f t="shared" si="211"/>
        <v>2043.3333333333333</v>
      </c>
      <c r="Q484" s="13">
        <f t="shared" si="212"/>
        <v>4564.1666666666661</v>
      </c>
      <c r="R484" s="12">
        <f t="shared" si="194"/>
        <v>249.99999999999994</v>
      </c>
      <c r="S484" s="12">
        <f t="shared" si="208"/>
        <v>80</v>
      </c>
      <c r="T484" s="21">
        <v>0</v>
      </c>
      <c r="U484" s="13">
        <v>0</v>
      </c>
      <c r="V484" s="13">
        <f t="shared" si="206"/>
        <v>329.99999999999994</v>
      </c>
      <c r="W484" s="13">
        <f t="shared" si="195"/>
        <v>4234.1666666666661</v>
      </c>
      <c r="Y484" s="13">
        <f t="shared" si="199"/>
        <v>4234.1666666666661</v>
      </c>
      <c r="Z484" s="12">
        <f t="shared" si="188"/>
        <v>273.95833333333331</v>
      </c>
      <c r="AA484" s="12">
        <f t="shared" si="196"/>
        <v>217</v>
      </c>
      <c r="AB484" s="1">
        <f t="shared" si="200"/>
        <v>0</v>
      </c>
      <c r="AC484" s="16">
        <f t="shared" si="204"/>
        <v>490.95833333333331</v>
      </c>
      <c r="AD484" s="16">
        <f t="shared" si="197"/>
        <v>5055.1249999999991</v>
      </c>
    </row>
    <row r="485" spans="1:30" x14ac:dyDescent="0.2">
      <c r="A485" s="10" t="s">
        <v>315</v>
      </c>
      <c r="C485" s="11" t="s">
        <v>1365</v>
      </c>
      <c r="D485" s="19" t="s">
        <v>50</v>
      </c>
      <c r="E485" s="11" t="s">
        <v>238</v>
      </c>
      <c r="F485" s="22">
        <v>43034</v>
      </c>
      <c r="G485" s="11">
        <v>7</v>
      </c>
      <c r="H485" s="13">
        <f t="shared" si="209"/>
        <v>1166.6666666666665</v>
      </c>
      <c r="I485" s="13">
        <f t="shared" si="198"/>
        <v>0</v>
      </c>
      <c r="J485" s="13">
        <f t="shared" si="213"/>
        <v>58.333333333333329</v>
      </c>
      <c r="L485" s="13">
        <f t="shared" si="210"/>
        <v>186.66666666666669</v>
      </c>
      <c r="N485" s="13">
        <f t="shared" si="211"/>
        <v>1144.2666666666667</v>
      </c>
      <c r="Q485" s="13">
        <f t="shared" si="212"/>
        <v>2555.9333333333334</v>
      </c>
      <c r="R485" s="12">
        <f t="shared" si="194"/>
        <v>139.99999999999997</v>
      </c>
      <c r="S485" s="12">
        <f t="shared" si="208"/>
        <v>45</v>
      </c>
      <c r="T485" s="21">
        <v>0</v>
      </c>
      <c r="U485" s="13">
        <v>0</v>
      </c>
      <c r="V485" s="13">
        <f t="shared" si="206"/>
        <v>184.99999999999997</v>
      </c>
      <c r="W485" s="13">
        <f t="shared" si="195"/>
        <v>2370.9333333333334</v>
      </c>
      <c r="Y485" s="13">
        <f t="shared" si="199"/>
        <v>2370.9333333333334</v>
      </c>
      <c r="Z485" s="12">
        <f t="shared" ref="Z485:Z548" si="215">(H485+I485)*13.15%</f>
        <v>153.41666666666666</v>
      </c>
      <c r="AA485" s="12">
        <f t="shared" si="196"/>
        <v>122</v>
      </c>
      <c r="AB485" s="1">
        <f t="shared" si="200"/>
        <v>0</v>
      </c>
      <c r="AC485" s="16">
        <f t="shared" si="204"/>
        <v>275.41666666666663</v>
      </c>
      <c r="AD485" s="16">
        <f t="shared" si="197"/>
        <v>2831.35</v>
      </c>
    </row>
    <row r="486" spans="1:30" x14ac:dyDescent="0.2">
      <c r="A486" s="10" t="s">
        <v>315</v>
      </c>
      <c r="C486" s="11" t="s">
        <v>1366</v>
      </c>
      <c r="D486" s="19" t="s">
        <v>50</v>
      </c>
      <c r="E486" s="11" t="s">
        <v>238</v>
      </c>
      <c r="F486" s="22">
        <v>43038</v>
      </c>
      <c r="G486" s="11">
        <v>2</v>
      </c>
      <c r="H486" s="13">
        <f t="shared" si="209"/>
        <v>333.33333333333331</v>
      </c>
      <c r="I486" s="13">
        <f t="shared" si="198"/>
        <v>0</v>
      </c>
      <c r="J486" s="13">
        <f t="shared" si="213"/>
        <v>16.666666666666668</v>
      </c>
      <c r="L486" s="13">
        <f t="shared" si="210"/>
        <v>53.333333333333336</v>
      </c>
      <c r="N486" s="13">
        <f t="shared" si="211"/>
        <v>326.93333333333334</v>
      </c>
      <c r="Q486" s="13">
        <f t="shared" si="212"/>
        <v>730.26666666666665</v>
      </c>
      <c r="R486" s="12">
        <f t="shared" si="194"/>
        <v>39.999999999999993</v>
      </c>
      <c r="S486" s="12">
        <f t="shared" si="208"/>
        <v>13</v>
      </c>
      <c r="T486" s="21">
        <v>0</v>
      </c>
      <c r="U486" s="13">
        <v>0</v>
      </c>
      <c r="V486" s="13">
        <f t="shared" si="206"/>
        <v>52.999999999999993</v>
      </c>
      <c r="W486" s="13">
        <f t="shared" si="195"/>
        <v>677.26666666666665</v>
      </c>
      <c r="Y486" s="13">
        <f t="shared" si="199"/>
        <v>677.26666666666665</v>
      </c>
      <c r="Z486" s="12">
        <f t="shared" si="215"/>
        <v>43.833333333333336</v>
      </c>
      <c r="AA486" s="12">
        <f t="shared" si="196"/>
        <v>35</v>
      </c>
      <c r="AB486" s="1">
        <f t="shared" si="200"/>
        <v>0</v>
      </c>
      <c r="AC486" s="16">
        <f t="shared" si="204"/>
        <v>78.833333333333343</v>
      </c>
      <c r="AD486" s="16">
        <f t="shared" si="197"/>
        <v>809.1</v>
      </c>
    </row>
    <row r="487" spans="1:30" x14ac:dyDescent="0.2">
      <c r="A487" s="10" t="s">
        <v>315</v>
      </c>
      <c r="C487" s="11" t="s">
        <v>1367</v>
      </c>
      <c r="D487" s="19" t="s">
        <v>50</v>
      </c>
      <c r="E487" s="11" t="s">
        <v>239</v>
      </c>
      <c r="F487" s="22">
        <v>43018</v>
      </c>
      <c r="G487" s="11">
        <v>25</v>
      </c>
      <c r="H487" s="13">
        <f t="shared" si="209"/>
        <v>4166.6666666666661</v>
      </c>
      <c r="I487" s="13">
        <f t="shared" si="198"/>
        <v>0</v>
      </c>
      <c r="J487" s="13">
        <f t="shared" si="213"/>
        <v>208.33333333333331</v>
      </c>
      <c r="L487" s="13">
        <f t="shared" si="210"/>
        <v>666.66666666666674</v>
      </c>
      <c r="N487" s="13">
        <f t="shared" ref="N487:N490" si="216">((1950+1441-178+706+0)/30)*G487</f>
        <v>3265.833333333333</v>
      </c>
      <c r="Q487" s="13">
        <f t="shared" si="212"/>
        <v>8307.5</v>
      </c>
      <c r="R487" s="12">
        <f t="shared" si="194"/>
        <v>499.99999999999989</v>
      </c>
      <c r="S487" s="12">
        <f t="shared" si="208"/>
        <v>146</v>
      </c>
      <c r="T487" s="21">
        <v>0</v>
      </c>
      <c r="U487" s="13">
        <v>0</v>
      </c>
      <c r="V487" s="13">
        <f t="shared" si="206"/>
        <v>645.99999999999989</v>
      </c>
      <c r="W487" s="13">
        <f t="shared" si="195"/>
        <v>7661.5</v>
      </c>
      <c r="Y487" s="13">
        <f t="shared" si="199"/>
        <v>7661.5</v>
      </c>
      <c r="Z487" s="12">
        <f t="shared" si="215"/>
        <v>547.91666666666663</v>
      </c>
      <c r="AA487" s="12">
        <f t="shared" si="196"/>
        <v>395</v>
      </c>
      <c r="AB487" s="1">
        <f t="shared" si="200"/>
        <v>0</v>
      </c>
      <c r="AC487" s="16">
        <f t="shared" si="204"/>
        <v>942.91666666666663</v>
      </c>
      <c r="AD487" s="16">
        <f t="shared" si="197"/>
        <v>9250.4166666666661</v>
      </c>
    </row>
    <row r="488" spans="1:30" x14ac:dyDescent="0.2">
      <c r="A488" s="10" t="s">
        <v>315</v>
      </c>
      <c r="C488" s="11" t="s">
        <v>1368</v>
      </c>
      <c r="D488" s="19" t="s">
        <v>50</v>
      </c>
      <c r="E488" s="11" t="s">
        <v>239</v>
      </c>
      <c r="F488" s="22">
        <v>43024</v>
      </c>
      <c r="G488" s="11">
        <v>14</v>
      </c>
      <c r="H488" s="13">
        <f t="shared" si="209"/>
        <v>2333.333333333333</v>
      </c>
      <c r="I488" s="13">
        <f t="shared" si="198"/>
        <v>0</v>
      </c>
      <c r="J488" s="13">
        <f t="shared" si="213"/>
        <v>116.66666666666666</v>
      </c>
      <c r="L488" s="13">
        <f t="shared" si="210"/>
        <v>373.33333333333337</v>
      </c>
      <c r="N488" s="13">
        <f t="shared" si="211"/>
        <v>2288.5333333333333</v>
      </c>
      <c r="Q488" s="13">
        <f t="shared" si="212"/>
        <v>5111.8666666666668</v>
      </c>
      <c r="R488" s="12">
        <f t="shared" si="194"/>
        <v>279.99999999999994</v>
      </c>
      <c r="S488" s="12">
        <f t="shared" si="208"/>
        <v>90</v>
      </c>
      <c r="T488" s="21">
        <v>0</v>
      </c>
      <c r="U488" s="13">
        <v>0</v>
      </c>
      <c r="V488" s="13">
        <f t="shared" si="206"/>
        <v>369.99999999999994</v>
      </c>
      <c r="W488" s="13">
        <f t="shared" si="195"/>
        <v>4741.8666666666668</v>
      </c>
      <c r="Y488" s="13">
        <f t="shared" si="199"/>
        <v>4741.8666666666668</v>
      </c>
      <c r="Z488" s="12">
        <f t="shared" si="215"/>
        <v>306.83333333333331</v>
      </c>
      <c r="AA488" s="12">
        <f t="shared" si="196"/>
        <v>243</v>
      </c>
      <c r="AB488" s="1">
        <f t="shared" si="200"/>
        <v>0</v>
      </c>
      <c r="AC488" s="16">
        <f t="shared" si="204"/>
        <v>549.83333333333326</v>
      </c>
      <c r="AD488" s="16">
        <f t="shared" si="197"/>
        <v>5661.7</v>
      </c>
    </row>
    <row r="489" spans="1:30" x14ac:dyDescent="0.2">
      <c r="A489" s="10" t="s">
        <v>315</v>
      </c>
      <c r="C489" s="11" t="s">
        <v>1369</v>
      </c>
      <c r="D489" s="19" t="s">
        <v>50</v>
      </c>
      <c r="E489" s="11" t="s">
        <v>241</v>
      </c>
      <c r="F489" s="22">
        <v>43020</v>
      </c>
      <c r="G489" s="11">
        <v>24</v>
      </c>
      <c r="H489" s="13">
        <f t="shared" si="209"/>
        <v>4000</v>
      </c>
      <c r="I489" s="13">
        <f t="shared" si="198"/>
        <v>0</v>
      </c>
      <c r="J489" s="13">
        <f t="shared" si="213"/>
        <v>200</v>
      </c>
      <c r="L489" s="13">
        <f t="shared" si="210"/>
        <v>640</v>
      </c>
      <c r="N489" s="13">
        <f t="shared" si="216"/>
        <v>3135.2</v>
      </c>
      <c r="Q489" s="13">
        <f t="shared" si="212"/>
        <v>7975.2</v>
      </c>
      <c r="R489" s="12">
        <f t="shared" si="194"/>
        <v>480</v>
      </c>
      <c r="S489" s="12">
        <f t="shared" si="208"/>
        <v>140</v>
      </c>
      <c r="T489" s="21">
        <v>0</v>
      </c>
      <c r="U489" s="13">
        <v>0</v>
      </c>
      <c r="V489" s="13">
        <f t="shared" si="206"/>
        <v>620</v>
      </c>
      <c r="W489" s="13">
        <f t="shared" si="195"/>
        <v>7355.2</v>
      </c>
      <c r="Y489" s="13">
        <f t="shared" si="199"/>
        <v>7355.2</v>
      </c>
      <c r="Z489" s="12">
        <f t="shared" si="215"/>
        <v>526</v>
      </c>
      <c r="AA489" s="12">
        <f t="shared" si="196"/>
        <v>379</v>
      </c>
      <c r="AB489" s="1">
        <f t="shared" si="200"/>
        <v>0</v>
      </c>
      <c r="AC489" s="16">
        <f t="shared" si="204"/>
        <v>905</v>
      </c>
      <c r="AD489" s="16">
        <f t="shared" si="197"/>
        <v>8880.2000000000007</v>
      </c>
    </row>
    <row r="490" spans="1:30" x14ac:dyDescent="0.2">
      <c r="A490" s="10" t="s">
        <v>315</v>
      </c>
      <c r="C490" s="11" t="s">
        <v>1370</v>
      </c>
      <c r="D490" s="19" t="s">
        <v>50</v>
      </c>
      <c r="E490" s="11" t="s">
        <v>241</v>
      </c>
      <c r="F490" s="22">
        <v>43023</v>
      </c>
      <c r="G490" s="11">
        <v>19</v>
      </c>
      <c r="H490" s="13">
        <f t="shared" si="209"/>
        <v>3166.6666666666665</v>
      </c>
      <c r="I490" s="13">
        <f t="shared" si="198"/>
        <v>0</v>
      </c>
      <c r="J490" s="13">
        <f t="shared" si="213"/>
        <v>158.33333333333334</v>
      </c>
      <c r="L490" s="13">
        <f t="shared" si="210"/>
        <v>506.66666666666669</v>
      </c>
      <c r="N490" s="13">
        <f t="shared" si="216"/>
        <v>2482.0333333333333</v>
      </c>
      <c r="Q490" s="13">
        <f t="shared" si="212"/>
        <v>6313.7</v>
      </c>
      <c r="R490" s="12">
        <f t="shared" si="194"/>
        <v>379.99999999999994</v>
      </c>
      <c r="S490" s="12">
        <f t="shared" si="208"/>
        <v>111</v>
      </c>
      <c r="T490" s="21">
        <v>0</v>
      </c>
      <c r="U490" s="13">
        <v>0</v>
      </c>
      <c r="V490" s="13">
        <f t="shared" si="206"/>
        <v>490.99999999999994</v>
      </c>
      <c r="W490" s="13">
        <f t="shared" si="195"/>
        <v>5822.7</v>
      </c>
      <c r="Y490" s="13">
        <f t="shared" si="199"/>
        <v>5822.7</v>
      </c>
      <c r="Z490" s="12">
        <f t="shared" si="215"/>
        <v>416.41666666666669</v>
      </c>
      <c r="AA490" s="12">
        <f t="shared" si="196"/>
        <v>300</v>
      </c>
      <c r="AB490" s="1">
        <f t="shared" si="200"/>
        <v>0</v>
      </c>
      <c r="AC490" s="16">
        <f t="shared" si="204"/>
        <v>716.41666666666674</v>
      </c>
      <c r="AD490" s="16">
        <f t="shared" si="197"/>
        <v>7030.1166666666668</v>
      </c>
    </row>
    <row r="491" spans="1:30" x14ac:dyDescent="0.2">
      <c r="A491" s="10" t="s">
        <v>58</v>
      </c>
      <c r="B491" s="11" t="e">
        <f>B448+1</f>
        <v>#REF!</v>
      </c>
      <c r="C491" s="11" t="s">
        <v>48</v>
      </c>
      <c r="D491" s="11" t="s">
        <v>52</v>
      </c>
      <c r="F491" s="22">
        <v>42356</v>
      </c>
      <c r="G491" s="11">
        <v>32</v>
      </c>
      <c r="H491" s="13">
        <f t="shared" ref="H491:H554" si="217">(5000/G$3)*G491</f>
        <v>5161.2903225806449</v>
      </c>
      <c r="I491" s="13">
        <f t="shared" si="198"/>
        <v>0</v>
      </c>
      <c r="J491" s="13">
        <f t="shared" si="213"/>
        <v>258.06451612903226</v>
      </c>
      <c r="L491" s="13">
        <f t="shared" ref="L491:L554" si="218">((800)/G$3)*G491</f>
        <v>825.80645161290317</v>
      </c>
      <c r="N491" s="13">
        <f>((1950+2484+1737)/G$3)*G491</f>
        <v>6370.0645161290322</v>
      </c>
      <c r="O491" s="13">
        <v>0</v>
      </c>
      <c r="Q491" s="13">
        <f t="shared" ref="Q491:Q517" si="219">SUM(H491:P491)</f>
        <v>12615.225806451614</v>
      </c>
      <c r="R491" s="12">
        <f t="shared" si="194"/>
        <v>619.35483870967732</v>
      </c>
      <c r="S491" s="12">
        <f>ROUNDUP(((Q491-O491)*1.75%),0)</f>
        <v>221</v>
      </c>
      <c r="T491" s="21">
        <f t="shared" ref="T491:T509" si="220">+IF(Q491&lt;2501,0,IF((Q491&gt;2501)*(Q491&lt;3500),0,IF((Q491&gt;3501)*(Q491&lt;7500),0,IF((Q491&gt;7501)*(Q491&lt;10000),175,200))))</f>
        <v>200</v>
      </c>
      <c r="U491" s="13">
        <v>0</v>
      </c>
      <c r="V491" s="13">
        <f>SUM(R491:U491)</f>
        <v>1040.3548387096773</v>
      </c>
      <c r="W491" s="13">
        <f>Q491-V491</f>
        <v>11574.870967741936</v>
      </c>
      <c r="Y491" s="13">
        <f>W491-X491</f>
        <v>11574.870967741936</v>
      </c>
      <c r="Z491" s="12">
        <f t="shared" si="215"/>
        <v>678.70967741935488</v>
      </c>
      <c r="AA491" s="12">
        <f>CEILING(((Q491-O491)*4.75%),1)</f>
        <v>600</v>
      </c>
      <c r="AB491" s="1">
        <f t="shared" si="200"/>
        <v>0</v>
      </c>
      <c r="AC491" s="16">
        <f>SUM(Z491:AB491)</f>
        <v>1278.7096774193549</v>
      </c>
      <c r="AD491" s="16">
        <f>Q491+AC491</f>
        <v>13893.935483870968</v>
      </c>
    </row>
    <row r="492" spans="1:30" x14ac:dyDescent="0.2">
      <c r="A492" s="10" t="s">
        <v>59</v>
      </c>
      <c r="B492" s="11" t="e">
        <f t="shared" ref="B492:B555" si="221">B491+1</f>
        <v>#REF!</v>
      </c>
      <c r="C492" s="11" t="s">
        <v>53</v>
      </c>
      <c r="D492" s="11" t="s">
        <v>52</v>
      </c>
      <c r="F492" s="22">
        <v>42370</v>
      </c>
      <c r="G492" s="11">
        <v>29</v>
      </c>
      <c r="H492" s="13">
        <f t="shared" si="217"/>
        <v>4677.4193548387093</v>
      </c>
      <c r="I492" s="13">
        <f t="shared" si="198"/>
        <v>0</v>
      </c>
      <c r="J492" s="13">
        <f t="shared" si="213"/>
        <v>233.87096774193549</v>
      </c>
      <c r="L492" s="13">
        <f t="shared" si="218"/>
        <v>748.38709677419354</v>
      </c>
      <c r="N492" s="13">
        <f>((1950+2484+1075)/G$3)*G492</f>
        <v>5153.5806451612907</v>
      </c>
      <c r="O492" s="13">
        <v>0</v>
      </c>
      <c r="Q492" s="13">
        <f t="shared" si="219"/>
        <v>10813.258064516129</v>
      </c>
      <c r="R492" s="12">
        <f t="shared" si="194"/>
        <v>561.29032258064512</v>
      </c>
      <c r="S492" s="12">
        <f t="shared" ref="S492:S555" si="222">ROUNDUP((Q492*1.75%),0)</f>
        <v>190</v>
      </c>
      <c r="T492" s="21">
        <f t="shared" si="220"/>
        <v>200</v>
      </c>
      <c r="U492" s="13">
        <v>0</v>
      </c>
      <c r="V492" s="13">
        <f t="shared" ref="V492:V494" si="223">SUM(R492:U492)</f>
        <v>951.29032258064512</v>
      </c>
      <c r="W492" s="13">
        <f t="shared" ref="W492:W509" si="224">Q492-V492</f>
        <v>9861.967741935483</v>
      </c>
      <c r="Y492" s="13">
        <f>W492-X492</f>
        <v>9861.967741935483</v>
      </c>
      <c r="Z492" s="12">
        <f t="shared" si="215"/>
        <v>615.08064516129025</v>
      </c>
      <c r="AA492" s="12">
        <f t="shared" ref="AA492:AA555" si="225">CEILING((Q492)*4.75%,1)</f>
        <v>514</v>
      </c>
      <c r="AB492" s="1">
        <f t="shared" si="200"/>
        <v>0</v>
      </c>
      <c r="AC492" s="16">
        <f t="shared" ref="AC492:AC494" si="226">SUM(Z492:AB492)</f>
        <v>1129.0806451612902</v>
      </c>
      <c r="AD492" s="16">
        <f>Q492+AC492</f>
        <v>11942.338709677419</v>
      </c>
    </row>
    <row r="493" spans="1:30" x14ac:dyDescent="0.2">
      <c r="A493" s="10" t="s">
        <v>60</v>
      </c>
      <c r="B493" s="11" t="e">
        <f t="shared" si="221"/>
        <v>#REF!</v>
      </c>
      <c r="C493" s="11" t="s">
        <v>54</v>
      </c>
      <c r="D493" s="11" t="s">
        <v>52</v>
      </c>
      <c r="F493" s="22">
        <v>42370</v>
      </c>
      <c r="G493" s="11">
        <v>29</v>
      </c>
      <c r="H493" s="13">
        <f t="shared" si="217"/>
        <v>4677.4193548387093</v>
      </c>
      <c r="I493" s="13">
        <f t="shared" si="198"/>
        <v>0</v>
      </c>
      <c r="J493" s="13">
        <f t="shared" si="213"/>
        <v>233.87096774193549</v>
      </c>
      <c r="L493" s="13">
        <f t="shared" si="218"/>
        <v>748.38709677419354</v>
      </c>
      <c r="N493" s="13">
        <f>((1950+2484+1075)/G$3)*G493</f>
        <v>5153.5806451612907</v>
      </c>
      <c r="O493" s="13">
        <v>0</v>
      </c>
      <c r="Q493" s="13">
        <f t="shared" si="219"/>
        <v>10813.258064516129</v>
      </c>
      <c r="R493" s="12">
        <f t="shared" si="194"/>
        <v>561.29032258064512</v>
      </c>
      <c r="S493" s="12">
        <f t="shared" si="222"/>
        <v>190</v>
      </c>
      <c r="T493" s="21">
        <f t="shared" si="220"/>
        <v>200</v>
      </c>
      <c r="U493" s="13">
        <v>0</v>
      </c>
      <c r="V493" s="13">
        <f t="shared" si="223"/>
        <v>951.29032258064512</v>
      </c>
      <c r="W493" s="13">
        <f t="shared" si="224"/>
        <v>9861.967741935483</v>
      </c>
      <c r="Y493" s="13">
        <f>W493-X493</f>
        <v>9861.967741935483</v>
      </c>
      <c r="Z493" s="12">
        <f t="shared" si="215"/>
        <v>615.08064516129025</v>
      </c>
      <c r="AA493" s="12">
        <f t="shared" si="225"/>
        <v>514</v>
      </c>
      <c r="AB493" s="1">
        <f t="shared" si="200"/>
        <v>0</v>
      </c>
      <c r="AC493" s="16">
        <f t="shared" si="226"/>
        <v>1129.0806451612902</v>
      </c>
      <c r="AD493" s="16">
        <f t="shared" ref="AD493:AD556" si="227">Q493+AC493</f>
        <v>11942.338709677419</v>
      </c>
    </row>
    <row r="494" spans="1:30" x14ac:dyDescent="0.2">
      <c r="A494" s="10" t="s">
        <v>61</v>
      </c>
      <c r="B494" s="11" t="e">
        <f t="shared" si="221"/>
        <v>#REF!</v>
      </c>
      <c r="C494" s="11" t="s">
        <v>55</v>
      </c>
      <c r="D494" s="11" t="s">
        <v>52</v>
      </c>
      <c r="F494" s="22">
        <v>42388</v>
      </c>
      <c r="G494" s="11">
        <v>30</v>
      </c>
      <c r="H494" s="13">
        <f t="shared" si="217"/>
        <v>4838.7096774193542</v>
      </c>
      <c r="I494" s="13">
        <f t="shared" si="198"/>
        <v>0</v>
      </c>
      <c r="J494" s="13">
        <f t="shared" si="213"/>
        <v>241.93548387096772</v>
      </c>
      <c r="L494" s="13">
        <f t="shared" si="218"/>
        <v>774.19354838709671</v>
      </c>
      <c r="N494" s="13">
        <f>((1950+2484+1737)/G$3)*G494</f>
        <v>5971.9354838709678</v>
      </c>
      <c r="O494" s="13">
        <v>0</v>
      </c>
      <c r="Q494" s="13">
        <f t="shared" si="219"/>
        <v>11826.774193548386</v>
      </c>
      <c r="R494" s="12">
        <f t="shared" si="194"/>
        <v>580.64516129032245</v>
      </c>
      <c r="S494" s="12">
        <f>ROUNDUP(((Q494-O494)*1.75%),0)</f>
        <v>207</v>
      </c>
      <c r="T494" s="21">
        <f t="shared" si="220"/>
        <v>200</v>
      </c>
      <c r="U494" s="13">
        <v>0</v>
      </c>
      <c r="V494" s="13">
        <f t="shared" si="223"/>
        <v>987.64516129032245</v>
      </c>
      <c r="W494" s="13">
        <f t="shared" si="224"/>
        <v>10839.129032258064</v>
      </c>
      <c r="Y494" s="13">
        <f t="shared" ref="Y494:Y557" si="228">W494-X494</f>
        <v>10839.129032258064</v>
      </c>
      <c r="Z494" s="12">
        <f t="shared" si="215"/>
        <v>636.29032258064512</v>
      </c>
      <c r="AA494" s="12">
        <f t="shared" si="225"/>
        <v>562</v>
      </c>
      <c r="AB494" s="1">
        <f t="shared" si="200"/>
        <v>0</v>
      </c>
      <c r="AC494" s="16">
        <f t="shared" si="226"/>
        <v>1198.2903225806451</v>
      </c>
      <c r="AD494" s="16">
        <f t="shared" si="227"/>
        <v>13025.064516129032</v>
      </c>
    </row>
    <row r="495" spans="1:30" x14ac:dyDescent="0.2">
      <c r="A495" s="10" t="s">
        <v>93</v>
      </c>
      <c r="B495" s="11" t="e">
        <f t="shared" si="221"/>
        <v>#REF!</v>
      </c>
      <c r="C495" s="11" t="s">
        <v>70</v>
      </c>
      <c r="D495" s="11" t="s">
        <v>52</v>
      </c>
      <c r="F495" s="22">
        <v>42493</v>
      </c>
      <c r="G495" s="11">
        <v>30</v>
      </c>
      <c r="H495" s="13">
        <f t="shared" si="217"/>
        <v>4838.7096774193542</v>
      </c>
      <c r="I495" s="13">
        <f t="shared" si="198"/>
        <v>0</v>
      </c>
      <c r="J495" s="13">
        <f t="shared" si="213"/>
        <v>241.93548387096772</v>
      </c>
      <c r="L495" s="13">
        <f t="shared" si="218"/>
        <v>774.19354838709671</v>
      </c>
      <c r="N495" s="13">
        <f>((1950+2484+1390)/G$3)*G495</f>
        <v>5636.1290322580644</v>
      </c>
      <c r="O495" s="13">
        <v>0</v>
      </c>
      <c r="Q495" s="13">
        <f t="shared" si="219"/>
        <v>11490.967741935483</v>
      </c>
      <c r="R495" s="12">
        <f t="shared" si="194"/>
        <v>580.64516129032245</v>
      </c>
      <c r="S495" s="12">
        <f t="shared" ref="S495:S496" si="229">ROUNDUP(((Q495-O495)*1.75%),0)</f>
        <v>202</v>
      </c>
      <c r="T495" s="21">
        <f t="shared" si="220"/>
        <v>200</v>
      </c>
      <c r="U495" s="13">
        <v>0</v>
      </c>
      <c r="V495" s="13">
        <f t="shared" ref="V495" si="230">SUM(R495:U495)</f>
        <v>982.64516129032245</v>
      </c>
      <c r="W495" s="13">
        <f t="shared" si="224"/>
        <v>10508.322580645161</v>
      </c>
      <c r="Y495" s="13">
        <f t="shared" si="228"/>
        <v>10508.322580645161</v>
      </c>
      <c r="Z495" s="12">
        <f t="shared" si="215"/>
        <v>636.29032258064512</v>
      </c>
      <c r="AA495" s="12">
        <f t="shared" si="225"/>
        <v>546</v>
      </c>
      <c r="AB495" s="1">
        <f t="shared" si="200"/>
        <v>0</v>
      </c>
      <c r="AC495" s="16">
        <f t="shared" ref="AC495" si="231">SUM(Z495:AB495)</f>
        <v>1182.2903225806451</v>
      </c>
      <c r="AD495" s="16">
        <f t="shared" si="227"/>
        <v>12673.258064516129</v>
      </c>
    </row>
    <row r="496" spans="1:30" x14ac:dyDescent="0.2">
      <c r="A496" s="10" t="s">
        <v>104</v>
      </c>
      <c r="B496" s="11" t="e">
        <f t="shared" si="221"/>
        <v>#REF!</v>
      </c>
      <c r="C496" s="11" t="s">
        <v>87</v>
      </c>
      <c r="D496" s="11" t="s">
        <v>52</v>
      </c>
      <c r="F496" s="22">
        <v>42522</v>
      </c>
      <c r="G496" s="11">
        <v>24.5</v>
      </c>
      <c r="H496" s="13">
        <f t="shared" si="217"/>
        <v>3951.6129032258063</v>
      </c>
      <c r="I496" s="13">
        <f t="shared" si="198"/>
        <v>0</v>
      </c>
      <c r="J496" s="13">
        <f t="shared" si="213"/>
        <v>197.58064516129033</v>
      </c>
      <c r="L496" s="13">
        <f t="shared" si="218"/>
        <v>632.25806451612902</v>
      </c>
      <c r="N496" s="13">
        <f>((1950+2484+1158)/G$3)*G496</f>
        <v>4419.4838709677415</v>
      </c>
      <c r="O496" s="13">
        <v>0</v>
      </c>
      <c r="Q496" s="13">
        <f t="shared" si="219"/>
        <v>9200.935483870966</v>
      </c>
      <c r="R496" s="12">
        <f t="shared" si="194"/>
        <v>474.19354838709677</v>
      </c>
      <c r="S496" s="12">
        <f t="shared" si="229"/>
        <v>162</v>
      </c>
      <c r="T496" s="21">
        <f t="shared" si="220"/>
        <v>175</v>
      </c>
      <c r="U496" s="13">
        <v>0</v>
      </c>
      <c r="V496" s="13">
        <f t="shared" ref="V496:V501" si="232">SUM(R496:U496)</f>
        <v>811.19354838709683</v>
      </c>
      <c r="W496" s="13">
        <f t="shared" si="224"/>
        <v>8389.7419354838694</v>
      </c>
      <c r="Y496" s="13">
        <f t="shared" si="228"/>
        <v>8389.7419354838694</v>
      </c>
      <c r="Z496" s="12">
        <f t="shared" si="215"/>
        <v>519.63709677419354</v>
      </c>
      <c r="AA496" s="12">
        <f t="shared" si="225"/>
        <v>438</v>
      </c>
      <c r="AB496" s="1">
        <f t="shared" si="200"/>
        <v>0</v>
      </c>
      <c r="AC496" s="16">
        <f t="shared" ref="AC496:AC501" si="233">SUM(Z496:AB496)</f>
        <v>957.63709677419354</v>
      </c>
      <c r="AD496" s="16">
        <f t="shared" si="227"/>
        <v>10158.572580645159</v>
      </c>
    </row>
    <row r="497" spans="1:30" x14ac:dyDescent="0.2">
      <c r="A497" s="10" t="s">
        <v>143</v>
      </c>
      <c r="B497" s="11" t="e">
        <f t="shared" si="221"/>
        <v>#REF!</v>
      </c>
      <c r="C497" s="11" t="s">
        <v>129</v>
      </c>
      <c r="D497" s="11" t="s">
        <v>52</v>
      </c>
      <c r="F497" s="22">
        <v>42668</v>
      </c>
      <c r="G497" s="11">
        <v>31</v>
      </c>
      <c r="H497" s="13">
        <f t="shared" si="217"/>
        <v>5000</v>
      </c>
      <c r="I497" s="13">
        <f t="shared" si="198"/>
        <v>0</v>
      </c>
      <c r="J497" s="13">
        <f t="shared" si="213"/>
        <v>250</v>
      </c>
      <c r="L497" s="13">
        <f t="shared" si="218"/>
        <v>800</v>
      </c>
      <c r="N497" s="13">
        <f>((1950+2484+4016)/G$3)*G497</f>
        <v>8450</v>
      </c>
      <c r="O497" s="13">
        <v>0</v>
      </c>
      <c r="Q497" s="13">
        <f t="shared" si="219"/>
        <v>14500</v>
      </c>
      <c r="R497" s="12">
        <f t="shared" si="194"/>
        <v>600</v>
      </c>
      <c r="S497" s="12">
        <f t="shared" si="222"/>
        <v>254</v>
      </c>
      <c r="T497" s="21">
        <f t="shared" si="220"/>
        <v>200</v>
      </c>
      <c r="U497" s="13">
        <v>0</v>
      </c>
      <c r="V497" s="13">
        <f t="shared" si="232"/>
        <v>1054</v>
      </c>
      <c r="W497" s="13">
        <f t="shared" si="224"/>
        <v>13446</v>
      </c>
      <c r="Y497" s="13">
        <f t="shared" si="228"/>
        <v>13446</v>
      </c>
      <c r="Z497" s="12">
        <f t="shared" si="215"/>
        <v>657.5</v>
      </c>
      <c r="AA497" s="12">
        <f t="shared" si="225"/>
        <v>689</v>
      </c>
      <c r="AB497" s="1">
        <f t="shared" si="200"/>
        <v>0</v>
      </c>
      <c r="AC497" s="16">
        <f t="shared" si="233"/>
        <v>1346.5</v>
      </c>
      <c r="AD497" s="16">
        <f t="shared" si="227"/>
        <v>15846.5</v>
      </c>
    </row>
    <row r="498" spans="1:30" x14ac:dyDescent="0.2">
      <c r="A498" s="10" t="s">
        <v>165</v>
      </c>
      <c r="B498" s="11" t="e">
        <f t="shared" si="221"/>
        <v>#REF!</v>
      </c>
      <c r="C498" s="11" t="s">
        <v>132</v>
      </c>
      <c r="D498" s="11" t="s">
        <v>52</v>
      </c>
      <c r="F498" s="22">
        <v>42697</v>
      </c>
      <c r="G498" s="11">
        <v>26</v>
      </c>
      <c r="H498" s="13">
        <f t="shared" si="217"/>
        <v>4193.5483870967737</v>
      </c>
      <c r="I498" s="13">
        <f t="shared" si="198"/>
        <v>0</v>
      </c>
      <c r="J498" s="13">
        <f t="shared" si="213"/>
        <v>209.67741935483869</v>
      </c>
      <c r="L498" s="13">
        <f t="shared" si="218"/>
        <v>670.96774193548379</v>
      </c>
      <c r="N498" s="13">
        <f>((1950+1484-43)/G$3)*G498</f>
        <v>2844.0645161290322</v>
      </c>
      <c r="O498" s="13">
        <v>0</v>
      </c>
      <c r="Q498" s="13">
        <f t="shared" si="219"/>
        <v>7918.2580645161288</v>
      </c>
      <c r="R498" s="12">
        <f t="shared" si="194"/>
        <v>503.22580645161281</v>
      </c>
      <c r="S498" s="12">
        <f t="shared" si="222"/>
        <v>139</v>
      </c>
      <c r="T498" s="21">
        <f t="shared" si="220"/>
        <v>175</v>
      </c>
      <c r="U498" s="13">
        <v>0</v>
      </c>
      <c r="V498" s="13">
        <f t="shared" si="232"/>
        <v>817.22580645161281</v>
      </c>
      <c r="W498" s="13">
        <f t="shared" si="224"/>
        <v>7101.0322580645161</v>
      </c>
      <c r="Y498" s="13">
        <f t="shared" si="228"/>
        <v>7101.0322580645161</v>
      </c>
      <c r="Z498" s="12">
        <f t="shared" si="215"/>
        <v>551.45161290322574</v>
      </c>
      <c r="AA498" s="12">
        <f t="shared" si="225"/>
        <v>377</v>
      </c>
      <c r="AB498" s="1">
        <f t="shared" si="200"/>
        <v>0</v>
      </c>
      <c r="AC498" s="16">
        <f t="shared" si="233"/>
        <v>928.45161290322574</v>
      </c>
      <c r="AD498" s="16">
        <f t="shared" si="227"/>
        <v>8846.7096774193542</v>
      </c>
    </row>
    <row r="499" spans="1:30" x14ac:dyDescent="0.2">
      <c r="A499" s="10" t="s">
        <v>166</v>
      </c>
      <c r="B499" s="11" t="e">
        <f t="shared" si="221"/>
        <v>#REF!</v>
      </c>
      <c r="C499" s="11" t="s">
        <v>133</v>
      </c>
      <c r="D499" s="11" t="s">
        <v>52</v>
      </c>
      <c r="F499" s="22">
        <v>42697</v>
      </c>
      <c r="G499" s="11">
        <v>31</v>
      </c>
      <c r="H499" s="13">
        <f t="shared" si="217"/>
        <v>5000</v>
      </c>
      <c r="I499" s="13">
        <f t="shared" si="198"/>
        <v>0</v>
      </c>
      <c r="J499" s="13">
        <f t="shared" si="213"/>
        <v>250</v>
      </c>
      <c r="L499" s="13">
        <f t="shared" si="218"/>
        <v>800</v>
      </c>
      <c r="N499" s="13">
        <f>((1950+1484-43)/G$3)*G499</f>
        <v>3391</v>
      </c>
      <c r="O499" s="13">
        <v>0</v>
      </c>
      <c r="Q499" s="13">
        <f t="shared" si="219"/>
        <v>9441</v>
      </c>
      <c r="R499" s="12">
        <f t="shared" si="194"/>
        <v>600</v>
      </c>
      <c r="S499" s="12">
        <f t="shared" si="222"/>
        <v>166</v>
      </c>
      <c r="T499" s="21">
        <f t="shared" si="220"/>
        <v>175</v>
      </c>
      <c r="U499" s="13">
        <v>0</v>
      </c>
      <c r="V499" s="13">
        <f t="shared" si="232"/>
        <v>941</v>
      </c>
      <c r="W499" s="13">
        <f t="shared" si="224"/>
        <v>8500</v>
      </c>
      <c r="Y499" s="13">
        <f t="shared" si="228"/>
        <v>8500</v>
      </c>
      <c r="Z499" s="12">
        <f t="shared" si="215"/>
        <v>657.5</v>
      </c>
      <c r="AA499" s="12">
        <f t="shared" si="225"/>
        <v>449</v>
      </c>
      <c r="AB499" s="1">
        <f t="shared" si="200"/>
        <v>0</v>
      </c>
      <c r="AC499" s="16">
        <f t="shared" si="233"/>
        <v>1106.5</v>
      </c>
      <c r="AD499" s="16">
        <f t="shared" si="227"/>
        <v>10547.5</v>
      </c>
    </row>
    <row r="500" spans="1:30" x14ac:dyDescent="0.2">
      <c r="A500" s="10" t="s">
        <v>230</v>
      </c>
      <c r="B500" s="11" t="e">
        <f t="shared" si="221"/>
        <v>#REF!</v>
      </c>
      <c r="C500" s="11" t="s">
        <v>169</v>
      </c>
      <c r="D500" s="11" t="s">
        <v>52</v>
      </c>
      <c r="F500" s="22">
        <v>42736</v>
      </c>
      <c r="G500" s="11">
        <v>34</v>
      </c>
      <c r="H500" s="13">
        <f t="shared" si="217"/>
        <v>5483.8709677419356</v>
      </c>
      <c r="I500" s="13">
        <f t="shared" si="198"/>
        <v>0</v>
      </c>
      <c r="J500" s="13">
        <f t="shared" si="213"/>
        <v>274.19354838709677</v>
      </c>
      <c r="L500" s="13">
        <f t="shared" si="218"/>
        <v>877.41935483870964</v>
      </c>
      <c r="N500" s="13">
        <f>((9828-1832)/G$3)*G500</f>
        <v>8769.8064516129034</v>
      </c>
      <c r="O500" s="13">
        <v>0</v>
      </c>
      <c r="Q500" s="13">
        <f t="shared" si="219"/>
        <v>15405.290322580644</v>
      </c>
      <c r="R500" s="12">
        <f t="shared" si="194"/>
        <v>658.0645161290322</v>
      </c>
      <c r="S500" s="12">
        <f t="shared" si="222"/>
        <v>270</v>
      </c>
      <c r="T500" s="21">
        <f t="shared" si="220"/>
        <v>200</v>
      </c>
      <c r="U500" s="13">
        <v>0</v>
      </c>
      <c r="V500" s="13">
        <f t="shared" si="232"/>
        <v>1128.0645161290322</v>
      </c>
      <c r="W500" s="13">
        <f t="shared" si="224"/>
        <v>14277.225806451612</v>
      </c>
      <c r="Y500" s="13">
        <f t="shared" si="228"/>
        <v>14277.225806451612</v>
      </c>
      <c r="Z500" s="12">
        <f t="shared" si="215"/>
        <v>721.12903225806451</v>
      </c>
      <c r="AA500" s="12">
        <f t="shared" si="225"/>
        <v>732</v>
      </c>
      <c r="AB500" s="1">
        <f t="shared" si="200"/>
        <v>0</v>
      </c>
      <c r="AC500" s="16">
        <f t="shared" si="233"/>
        <v>1453.1290322580644</v>
      </c>
      <c r="AD500" s="16">
        <f t="shared" si="227"/>
        <v>16858.419354838708</v>
      </c>
    </row>
    <row r="501" spans="1:30" x14ac:dyDescent="0.2">
      <c r="A501" s="10" t="s">
        <v>231</v>
      </c>
      <c r="B501" s="11" t="e">
        <f t="shared" si="221"/>
        <v>#REF!</v>
      </c>
      <c r="C501" s="11" t="s">
        <v>170</v>
      </c>
      <c r="D501" s="11" t="s">
        <v>52</v>
      </c>
      <c r="F501" s="22">
        <v>42736</v>
      </c>
      <c r="G501" s="11">
        <v>34</v>
      </c>
      <c r="H501" s="13">
        <f t="shared" si="217"/>
        <v>5483.8709677419356</v>
      </c>
      <c r="I501" s="13">
        <f t="shared" si="198"/>
        <v>0</v>
      </c>
      <c r="J501" s="13">
        <f t="shared" si="213"/>
        <v>274.19354838709677</v>
      </c>
      <c r="L501" s="13">
        <f t="shared" si="218"/>
        <v>877.41935483870964</v>
      </c>
      <c r="N501" s="13">
        <f>((9828-78+282)/G$3)*G501</f>
        <v>11002.83870967742</v>
      </c>
      <c r="O501" s="13">
        <v>0</v>
      </c>
      <c r="Q501" s="13">
        <f t="shared" si="219"/>
        <v>17638.322580645163</v>
      </c>
      <c r="R501" s="12">
        <f t="shared" si="194"/>
        <v>658.0645161290322</v>
      </c>
      <c r="S501" s="12">
        <f t="shared" si="222"/>
        <v>309</v>
      </c>
      <c r="T501" s="21">
        <f t="shared" si="220"/>
        <v>200</v>
      </c>
      <c r="U501" s="13">
        <v>0</v>
      </c>
      <c r="V501" s="13">
        <f t="shared" si="232"/>
        <v>1167.0645161290322</v>
      </c>
      <c r="W501" s="13">
        <f t="shared" si="224"/>
        <v>16471.258064516129</v>
      </c>
      <c r="Y501" s="13">
        <f t="shared" si="228"/>
        <v>16471.258064516129</v>
      </c>
      <c r="Z501" s="12">
        <f t="shared" si="215"/>
        <v>721.12903225806451</v>
      </c>
      <c r="AA501" s="12">
        <f t="shared" si="225"/>
        <v>838</v>
      </c>
      <c r="AB501" s="1">
        <f t="shared" si="200"/>
        <v>0</v>
      </c>
      <c r="AC501" s="16">
        <f t="shared" si="233"/>
        <v>1559.1290322580644</v>
      </c>
      <c r="AD501" s="16">
        <f t="shared" si="227"/>
        <v>19197.451612903227</v>
      </c>
    </row>
    <row r="502" spans="1:30" x14ac:dyDescent="0.2">
      <c r="A502" s="10" t="s">
        <v>308</v>
      </c>
      <c r="B502" s="11" t="e">
        <f t="shared" si="221"/>
        <v>#REF!</v>
      </c>
      <c r="C502" s="11" t="s">
        <v>265</v>
      </c>
      <c r="D502" s="11" t="s">
        <v>52</v>
      </c>
      <c r="F502" s="22">
        <v>42795</v>
      </c>
      <c r="G502" s="11">
        <v>32</v>
      </c>
      <c r="H502" s="13">
        <f t="shared" si="217"/>
        <v>5161.2903225806449</v>
      </c>
      <c r="I502" s="13">
        <f t="shared" si="198"/>
        <v>0</v>
      </c>
      <c r="J502" s="13">
        <f t="shared" si="213"/>
        <v>258.06451612903226</v>
      </c>
      <c r="L502" s="13">
        <f t="shared" si="218"/>
        <v>825.80645161290317</v>
      </c>
      <c r="N502" s="13">
        <f>((9828-78+282)/G$3)*G502</f>
        <v>10355.612903225807</v>
      </c>
      <c r="O502" s="13">
        <v>0</v>
      </c>
      <c r="Q502" s="13">
        <f t="shared" si="219"/>
        <v>16600.774193548386</v>
      </c>
      <c r="R502" s="12">
        <f t="shared" si="194"/>
        <v>619.35483870967732</v>
      </c>
      <c r="S502" s="12">
        <f t="shared" si="222"/>
        <v>291</v>
      </c>
      <c r="T502" s="21">
        <f t="shared" si="220"/>
        <v>200</v>
      </c>
      <c r="U502" s="13">
        <v>0</v>
      </c>
      <c r="V502" s="13">
        <f t="shared" ref="V502:V509" si="234">SUM(R502:U502)</f>
        <v>1110.3548387096773</v>
      </c>
      <c r="W502" s="13">
        <f t="shared" si="224"/>
        <v>15490.419354838708</v>
      </c>
      <c r="Y502" s="13">
        <f t="shared" si="228"/>
        <v>15490.419354838708</v>
      </c>
      <c r="Z502" s="12">
        <f t="shared" si="215"/>
        <v>678.70967741935488</v>
      </c>
      <c r="AA502" s="12">
        <f t="shared" si="225"/>
        <v>789</v>
      </c>
      <c r="AB502" s="1">
        <f t="shared" si="200"/>
        <v>0</v>
      </c>
      <c r="AC502" s="16">
        <f t="shared" ref="AC502:AC509" si="235">SUM(Z502:AB502)</f>
        <v>1467.7096774193549</v>
      </c>
      <c r="AD502" s="16">
        <f t="shared" si="227"/>
        <v>18068.483870967742</v>
      </c>
    </row>
    <row r="503" spans="1:30" x14ac:dyDescent="0.2">
      <c r="A503" s="10" t="s">
        <v>422</v>
      </c>
      <c r="B503" s="11" t="e">
        <f t="shared" si="221"/>
        <v>#REF!</v>
      </c>
      <c r="C503" s="11" t="s">
        <v>316</v>
      </c>
      <c r="D503" s="11" t="s">
        <v>52</v>
      </c>
      <c r="F503" s="22">
        <v>42830</v>
      </c>
      <c r="G503" s="11">
        <v>24</v>
      </c>
      <c r="H503" s="13">
        <f t="shared" si="217"/>
        <v>3870.9677419354839</v>
      </c>
      <c r="I503" s="13">
        <f t="shared" si="198"/>
        <v>0</v>
      </c>
      <c r="J503" s="13">
        <f t="shared" si="213"/>
        <v>193.54838709677421</v>
      </c>
      <c r="L503" s="13">
        <f t="shared" si="218"/>
        <v>619.35483870967732</v>
      </c>
      <c r="N503" s="13">
        <f>((3391)/G$3)*G503</f>
        <v>2625.2903225806454</v>
      </c>
      <c r="O503" s="13">
        <v>0</v>
      </c>
      <c r="Q503" s="13">
        <f t="shared" si="219"/>
        <v>7309.1612903225814</v>
      </c>
      <c r="R503" s="12">
        <f t="shared" si="194"/>
        <v>464.51612903225805</v>
      </c>
      <c r="S503" s="12">
        <f t="shared" si="222"/>
        <v>128</v>
      </c>
      <c r="T503" s="21">
        <f t="shared" si="220"/>
        <v>0</v>
      </c>
      <c r="U503" s="13">
        <v>0</v>
      </c>
      <c r="V503" s="13">
        <f t="shared" si="234"/>
        <v>592.51612903225805</v>
      </c>
      <c r="W503" s="13">
        <f t="shared" si="224"/>
        <v>6716.6451612903238</v>
      </c>
      <c r="Y503" s="13">
        <f t="shared" si="228"/>
        <v>6716.6451612903238</v>
      </c>
      <c r="Z503" s="12">
        <f t="shared" si="215"/>
        <v>509.03225806451616</v>
      </c>
      <c r="AA503" s="12">
        <f t="shared" si="225"/>
        <v>348</v>
      </c>
      <c r="AB503" s="1">
        <f t="shared" si="200"/>
        <v>0</v>
      </c>
      <c r="AC503" s="16">
        <f t="shared" si="235"/>
        <v>857.0322580645161</v>
      </c>
      <c r="AD503" s="16">
        <f t="shared" si="227"/>
        <v>8166.1935483870975</v>
      </c>
    </row>
    <row r="504" spans="1:30" x14ac:dyDescent="0.2">
      <c r="A504" s="10" t="s">
        <v>645</v>
      </c>
      <c r="B504" s="11" t="e">
        <f t="shared" si="221"/>
        <v>#REF!</v>
      </c>
      <c r="C504" s="11" t="s">
        <v>338</v>
      </c>
      <c r="D504" s="11" t="s">
        <v>52</v>
      </c>
      <c r="F504" s="22">
        <v>42856</v>
      </c>
      <c r="G504" s="11">
        <v>32</v>
      </c>
      <c r="H504" s="13">
        <f t="shared" si="217"/>
        <v>5161.2903225806449</v>
      </c>
      <c r="I504" s="13">
        <f t="shared" si="198"/>
        <v>0</v>
      </c>
      <c r="J504" s="13">
        <f t="shared" si="213"/>
        <v>258.06451612903226</v>
      </c>
      <c r="L504" s="13">
        <f t="shared" si="218"/>
        <v>825.80645161290317</v>
      </c>
      <c r="N504" s="13">
        <f>((3391+6641)/G$3)*G504</f>
        <v>10355.612903225807</v>
      </c>
      <c r="O504" s="13">
        <v>0</v>
      </c>
      <c r="Q504" s="13">
        <f t="shared" si="219"/>
        <v>16600.774193548386</v>
      </c>
      <c r="R504" s="12">
        <f t="shared" si="194"/>
        <v>619.35483870967732</v>
      </c>
      <c r="S504" s="12">
        <f t="shared" si="222"/>
        <v>291</v>
      </c>
      <c r="T504" s="21">
        <f t="shared" si="220"/>
        <v>200</v>
      </c>
      <c r="U504" s="13">
        <v>0</v>
      </c>
      <c r="V504" s="13">
        <f t="shared" si="234"/>
        <v>1110.3548387096773</v>
      </c>
      <c r="W504" s="13">
        <f t="shared" si="224"/>
        <v>15490.419354838708</v>
      </c>
      <c r="Y504" s="13">
        <f t="shared" si="228"/>
        <v>15490.419354838708</v>
      </c>
      <c r="Z504" s="12">
        <f t="shared" si="215"/>
        <v>678.70967741935488</v>
      </c>
      <c r="AA504" s="12">
        <f t="shared" si="225"/>
        <v>789</v>
      </c>
      <c r="AB504" s="1">
        <f t="shared" si="200"/>
        <v>0</v>
      </c>
      <c r="AC504" s="16">
        <f t="shared" si="235"/>
        <v>1467.7096774193549</v>
      </c>
      <c r="AD504" s="16">
        <f t="shared" si="227"/>
        <v>18068.483870967742</v>
      </c>
    </row>
    <row r="505" spans="1:30" x14ac:dyDescent="0.2">
      <c r="A505" s="10" t="s">
        <v>646</v>
      </c>
      <c r="B505" s="11" t="e">
        <f t="shared" si="221"/>
        <v>#REF!</v>
      </c>
      <c r="C505" s="11" t="s">
        <v>339</v>
      </c>
      <c r="D505" s="11" t="s">
        <v>52</v>
      </c>
      <c r="F505" s="22">
        <v>42856</v>
      </c>
      <c r="G505" s="11">
        <v>34</v>
      </c>
      <c r="H505" s="13">
        <f t="shared" si="217"/>
        <v>5483.8709677419356</v>
      </c>
      <c r="I505" s="13">
        <f t="shared" si="198"/>
        <v>0</v>
      </c>
      <c r="J505" s="13">
        <f t="shared" si="213"/>
        <v>274.19354838709677</v>
      </c>
      <c r="L505" s="13">
        <f t="shared" si="218"/>
        <v>877.41935483870964</v>
      </c>
      <c r="N505" s="13">
        <f>((3391+8641+36)/G$3)*G505</f>
        <v>13235.870967741936</v>
      </c>
      <c r="O505" s="13">
        <v>0</v>
      </c>
      <c r="Q505" s="13">
        <f t="shared" si="219"/>
        <v>19871.354838709678</v>
      </c>
      <c r="R505" s="12">
        <f t="shared" si="194"/>
        <v>658.0645161290322</v>
      </c>
      <c r="S505" s="12">
        <f t="shared" si="222"/>
        <v>348</v>
      </c>
      <c r="T505" s="21">
        <f t="shared" si="220"/>
        <v>200</v>
      </c>
      <c r="U505" s="13">
        <v>0</v>
      </c>
      <c r="V505" s="13">
        <f t="shared" si="234"/>
        <v>1206.0645161290322</v>
      </c>
      <c r="W505" s="13">
        <f t="shared" si="224"/>
        <v>18665.290322580644</v>
      </c>
      <c r="Y505" s="13">
        <f t="shared" si="228"/>
        <v>18665.290322580644</v>
      </c>
      <c r="Z505" s="12">
        <f t="shared" si="215"/>
        <v>721.12903225806451</v>
      </c>
      <c r="AA505" s="12">
        <f t="shared" si="225"/>
        <v>944</v>
      </c>
      <c r="AB505" s="1">
        <f t="shared" si="200"/>
        <v>0</v>
      </c>
      <c r="AC505" s="16">
        <f t="shared" si="235"/>
        <v>1665.1290322580644</v>
      </c>
      <c r="AD505" s="16">
        <f t="shared" si="227"/>
        <v>21536.483870967742</v>
      </c>
    </row>
    <row r="506" spans="1:30" x14ac:dyDescent="0.2">
      <c r="A506" s="10" t="s">
        <v>647</v>
      </c>
      <c r="B506" s="11" t="e">
        <f t="shared" si="221"/>
        <v>#REF!</v>
      </c>
      <c r="C506" s="11" t="s">
        <v>340</v>
      </c>
      <c r="D506" s="11" t="s">
        <v>52</v>
      </c>
      <c r="F506" s="22">
        <v>42856</v>
      </c>
      <c r="G506" s="11">
        <v>32</v>
      </c>
      <c r="H506" s="13">
        <f t="shared" si="217"/>
        <v>5161.2903225806449</v>
      </c>
      <c r="I506" s="13">
        <f t="shared" si="198"/>
        <v>0</v>
      </c>
      <c r="J506" s="13">
        <f t="shared" si="213"/>
        <v>258.06451612903226</v>
      </c>
      <c r="L506" s="13">
        <f t="shared" si="218"/>
        <v>825.80645161290317</v>
      </c>
      <c r="N506" s="13">
        <f>((9828-1832)/G$3)*G506</f>
        <v>8253.9354838709678</v>
      </c>
      <c r="O506" s="13">
        <v>0</v>
      </c>
      <c r="Q506" s="13">
        <f t="shared" si="219"/>
        <v>14499.096774193549</v>
      </c>
      <c r="R506" s="12">
        <f t="shared" si="194"/>
        <v>619.35483870967732</v>
      </c>
      <c r="S506" s="12">
        <f t="shared" si="222"/>
        <v>254</v>
      </c>
      <c r="T506" s="21">
        <f t="shared" si="220"/>
        <v>200</v>
      </c>
      <c r="U506" s="13">
        <v>0</v>
      </c>
      <c r="V506" s="13">
        <f t="shared" si="234"/>
        <v>1073.3548387096773</v>
      </c>
      <c r="W506" s="13">
        <f t="shared" si="224"/>
        <v>13425.741935483871</v>
      </c>
      <c r="Y506" s="13">
        <f t="shared" si="228"/>
        <v>13425.741935483871</v>
      </c>
      <c r="Z506" s="12">
        <f t="shared" si="215"/>
        <v>678.70967741935488</v>
      </c>
      <c r="AA506" s="12">
        <f t="shared" si="225"/>
        <v>689</v>
      </c>
      <c r="AB506" s="1">
        <f t="shared" si="200"/>
        <v>0</v>
      </c>
      <c r="AC506" s="16">
        <f t="shared" si="235"/>
        <v>1367.7096774193549</v>
      </c>
      <c r="AD506" s="16">
        <f t="shared" si="227"/>
        <v>15866.806451612903</v>
      </c>
    </row>
    <row r="507" spans="1:30" x14ac:dyDescent="0.2">
      <c r="A507" s="10" t="s">
        <v>648</v>
      </c>
      <c r="B507" s="11" t="e">
        <f t="shared" si="221"/>
        <v>#REF!</v>
      </c>
      <c r="C507" s="11" t="s">
        <v>341</v>
      </c>
      <c r="D507" s="11" t="s">
        <v>52</v>
      </c>
      <c r="F507" s="22">
        <v>42856</v>
      </c>
      <c r="G507" s="11">
        <v>33</v>
      </c>
      <c r="H507" s="13">
        <f t="shared" si="217"/>
        <v>5322.5806451612898</v>
      </c>
      <c r="I507" s="13">
        <f t="shared" si="198"/>
        <v>0</v>
      </c>
      <c r="J507" s="13">
        <f t="shared" si="213"/>
        <v>266.12903225806451</v>
      </c>
      <c r="L507" s="13">
        <f t="shared" si="218"/>
        <v>851.61290322580635</v>
      </c>
      <c r="N507" s="13">
        <f>((3391+8641+36)/G$3)*G507</f>
        <v>12846.580645161292</v>
      </c>
      <c r="O507" s="13">
        <v>0</v>
      </c>
      <c r="Q507" s="13">
        <f t="shared" si="219"/>
        <v>19286.903225806454</v>
      </c>
      <c r="R507" s="12">
        <f t="shared" si="194"/>
        <v>638.70967741935476</v>
      </c>
      <c r="S507" s="12">
        <f t="shared" si="222"/>
        <v>338</v>
      </c>
      <c r="T507" s="21">
        <f t="shared" si="220"/>
        <v>200</v>
      </c>
      <c r="U507" s="13">
        <v>0</v>
      </c>
      <c r="V507" s="13">
        <f t="shared" si="234"/>
        <v>1176.7096774193546</v>
      </c>
      <c r="W507" s="13">
        <f t="shared" si="224"/>
        <v>18110.193548387098</v>
      </c>
      <c r="Y507" s="13">
        <f t="shared" si="228"/>
        <v>18110.193548387098</v>
      </c>
      <c r="Z507" s="12">
        <f t="shared" si="215"/>
        <v>699.91935483870964</v>
      </c>
      <c r="AA507" s="12">
        <f t="shared" si="225"/>
        <v>917</v>
      </c>
      <c r="AB507" s="1">
        <f t="shared" si="200"/>
        <v>0</v>
      </c>
      <c r="AC507" s="16">
        <f t="shared" si="235"/>
        <v>1616.9193548387098</v>
      </c>
      <c r="AD507" s="16">
        <f t="shared" si="227"/>
        <v>20903.822580645163</v>
      </c>
    </row>
    <row r="508" spans="1:30" x14ac:dyDescent="0.2">
      <c r="A508" s="10" t="s">
        <v>649</v>
      </c>
      <c r="B508" s="11" t="e">
        <f t="shared" si="221"/>
        <v>#REF!</v>
      </c>
      <c r="C508" s="11" t="s">
        <v>342</v>
      </c>
      <c r="D508" s="11" t="s">
        <v>52</v>
      </c>
      <c r="F508" s="22">
        <v>42856</v>
      </c>
      <c r="G508" s="11">
        <v>31</v>
      </c>
      <c r="H508" s="13">
        <f t="shared" si="217"/>
        <v>5000</v>
      </c>
      <c r="I508" s="13">
        <f t="shared" si="198"/>
        <v>0</v>
      </c>
      <c r="J508" s="13">
        <f t="shared" si="213"/>
        <v>250</v>
      </c>
      <c r="L508" s="13">
        <f t="shared" si="218"/>
        <v>800</v>
      </c>
      <c r="N508" s="13">
        <f>((9828-1832)/G$3)*G508</f>
        <v>7996</v>
      </c>
      <c r="O508" s="13">
        <v>0</v>
      </c>
      <c r="Q508" s="13">
        <f t="shared" si="219"/>
        <v>14046</v>
      </c>
      <c r="R508" s="12">
        <f t="shared" si="194"/>
        <v>600</v>
      </c>
      <c r="S508" s="12">
        <f t="shared" si="222"/>
        <v>246</v>
      </c>
      <c r="T508" s="21">
        <f t="shared" si="220"/>
        <v>200</v>
      </c>
      <c r="U508" s="13">
        <v>0</v>
      </c>
      <c r="V508" s="13">
        <f t="shared" si="234"/>
        <v>1046</v>
      </c>
      <c r="W508" s="13">
        <f t="shared" si="224"/>
        <v>13000</v>
      </c>
      <c r="Y508" s="13">
        <f t="shared" si="228"/>
        <v>13000</v>
      </c>
      <c r="Z508" s="12">
        <f t="shared" si="215"/>
        <v>657.5</v>
      </c>
      <c r="AA508" s="12">
        <f t="shared" si="225"/>
        <v>668</v>
      </c>
      <c r="AB508" s="1">
        <f t="shared" si="200"/>
        <v>0</v>
      </c>
      <c r="AC508" s="16">
        <f t="shared" si="235"/>
        <v>1325.5</v>
      </c>
      <c r="AD508" s="16">
        <f t="shared" si="227"/>
        <v>15371.5</v>
      </c>
    </row>
    <row r="509" spans="1:30" x14ac:dyDescent="0.2">
      <c r="A509" s="10" t="s">
        <v>650</v>
      </c>
      <c r="B509" s="11" t="e">
        <f t="shared" si="221"/>
        <v>#REF!</v>
      </c>
      <c r="C509" s="11" t="s">
        <v>343</v>
      </c>
      <c r="D509" s="11" t="s">
        <v>52</v>
      </c>
      <c r="F509" s="22">
        <v>42856</v>
      </c>
      <c r="G509" s="11">
        <v>33</v>
      </c>
      <c r="H509" s="13">
        <f t="shared" si="217"/>
        <v>5322.5806451612898</v>
      </c>
      <c r="I509" s="13">
        <f t="shared" si="198"/>
        <v>0</v>
      </c>
      <c r="J509" s="13">
        <f t="shared" si="213"/>
        <v>266.12903225806451</v>
      </c>
      <c r="L509" s="13">
        <f t="shared" si="218"/>
        <v>851.61290322580635</v>
      </c>
      <c r="N509" s="13">
        <f>((3391+7641+18)/G$3)*G509</f>
        <v>11762.903225806451</v>
      </c>
      <c r="O509" s="13">
        <v>0</v>
      </c>
      <c r="Q509" s="13">
        <f t="shared" si="219"/>
        <v>18203.225806451614</v>
      </c>
      <c r="R509" s="12">
        <f t="shared" si="194"/>
        <v>638.70967741935476</v>
      </c>
      <c r="S509" s="12">
        <f t="shared" si="222"/>
        <v>319</v>
      </c>
      <c r="T509" s="21">
        <f t="shared" si="220"/>
        <v>200</v>
      </c>
      <c r="U509" s="13">
        <v>0</v>
      </c>
      <c r="V509" s="13">
        <f t="shared" si="234"/>
        <v>1157.7096774193546</v>
      </c>
      <c r="W509" s="13">
        <f t="shared" si="224"/>
        <v>17045.516129032258</v>
      </c>
      <c r="Y509" s="13">
        <f t="shared" si="228"/>
        <v>17045.516129032258</v>
      </c>
      <c r="Z509" s="12">
        <f t="shared" si="215"/>
        <v>699.91935483870964</v>
      </c>
      <c r="AA509" s="12">
        <f t="shared" si="225"/>
        <v>865</v>
      </c>
      <c r="AB509" s="1">
        <f t="shared" si="200"/>
        <v>0</v>
      </c>
      <c r="AC509" s="16">
        <f t="shared" si="235"/>
        <v>1564.9193548387098</v>
      </c>
      <c r="AD509" s="16">
        <f t="shared" si="227"/>
        <v>19768.145161290322</v>
      </c>
    </row>
    <row r="510" spans="1:30" x14ac:dyDescent="0.2">
      <c r="A510" s="10" t="s">
        <v>907</v>
      </c>
      <c r="B510" s="11" t="e">
        <f t="shared" si="221"/>
        <v>#REF!</v>
      </c>
      <c r="C510" s="11" t="s">
        <v>471</v>
      </c>
      <c r="D510" s="11" t="s">
        <v>52</v>
      </c>
      <c r="F510" s="22">
        <v>42887</v>
      </c>
      <c r="G510" s="11">
        <v>33</v>
      </c>
      <c r="H510" s="13">
        <f t="shared" si="217"/>
        <v>5322.5806451612898</v>
      </c>
      <c r="I510" s="13">
        <f t="shared" si="198"/>
        <v>0</v>
      </c>
      <c r="J510" s="13">
        <f>(H510+I510)*5%</f>
        <v>266.12903225806451</v>
      </c>
      <c r="L510" s="13">
        <f t="shared" si="218"/>
        <v>851.61290322580635</v>
      </c>
      <c r="N510" s="13">
        <f>((3391+6641)/G$3)*G510</f>
        <v>10679.225806451614</v>
      </c>
      <c r="O510" s="13">
        <v>0</v>
      </c>
      <c r="Q510" s="13">
        <f t="shared" si="219"/>
        <v>17119.548387096773</v>
      </c>
      <c r="R510" s="12">
        <f>(H510+I510)*12%</f>
        <v>638.70967741935476</v>
      </c>
      <c r="S510" s="12">
        <f>ROUNDUP((Q510*1.75%),0)</f>
        <v>300</v>
      </c>
      <c r="T510" s="21">
        <f>+IF(Q510&lt;2501,0,IF((Q510&gt;2501)*(Q510&lt;3500),0,IF((Q510&gt;3501)*(Q510&lt;7500),0,IF((Q510&gt;7501)*(Q510&lt;10000),175,200))))</f>
        <v>200</v>
      </c>
      <c r="U510" s="13">
        <v>0</v>
      </c>
      <c r="V510" s="13">
        <f>SUM(R510:U510)</f>
        <v>1138.7096774193546</v>
      </c>
      <c r="W510" s="13">
        <f>Q510-V510</f>
        <v>15980.838709677419</v>
      </c>
      <c r="Y510" s="13">
        <f>W510-X510</f>
        <v>15980.838709677419</v>
      </c>
      <c r="Z510" s="12">
        <f t="shared" si="215"/>
        <v>699.91935483870964</v>
      </c>
      <c r="AA510" s="12">
        <f t="shared" si="225"/>
        <v>814</v>
      </c>
      <c r="AB510" s="1">
        <f>U510*3</f>
        <v>0</v>
      </c>
      <c r="AC510" s="16">
        <f>SUM(Z510:AB510)</f>
        <v>1513.9193548387098</v>
      </c>
      <c r="AD510" s="16">
        <f>Q510+AC510</f>
        <v>18633.467741935481</v>
      </c>
    </row>
    <row r="511" spans="1:30" x14ac:dyDescent="0.2">
      <c r="A511" s="10" t="s">
        <v>908</v>
      </c>
      <c r="B511" s="11" t="e">
        <f t="shared" si="221"/>
        <v>#REF!</v>
      </c>
      <c r="C511" s="11" t="s">
        <v>472</v>
      </c>
      <c r="D511" s="11" t="s">
        <v>52</v>
      </c>
      <c r="F511" s="22">
        <v>42901</v>
      </c>
      <c r="G511" s="11">
        <v>30.5</v>
      </c>
      <c r="H511" s="13">
        <f t="shared" si="217"/>
        <v>4919.3548387096771</v>
      </c>
      <c r="I511" s="13">
        <f t="shared" si="198"/>
        <v>0</v>
      </c>
      <c r="J511" s="13">
        <f t="shared" ref="J511:J574" si="236">(H511+I511)*5%</f>
        <v>245.96774193548387</v>
      </c>
      <c r="L511" s="13">
        <f t="shared" si="218"/>
        <v>787.0967741935483</v>
      </c>
      <c r="N511" s="13">
        <f>((3391+6641)/G$3)*G511</f>
        <v>9870.1935483870966</v>
      </c>
      <c r="O511" s="13">
        <v>0</v>
      </c>
      <c r="Q511" s="13">
        <f t="shared" si="219"/>
        <v>15822.612903225807</v>
      </c>
      <c r="R511" s="12">
        <f t="shared" ref="R511:R516" si="237">(H511+I511)*12%</f>
        <v>590.32258064516122</v>
      </c>
      <c r="S511" s="12">
        <f t="shared" ref="S511:S516" si="238">ROUNDUP((Q511*1.75%),0)</f>
        <v>277</v>
      </c>
      <c r="T511" s="21">
        <f t="shared" ref="T511:T516" si="239">+IF(Q511&lt;2501,0,IF((Q511&gt;2501)*(Q511&lt;3500),0,IF((Q511&gt;3501)*(Q511&lt;7500),0,IF((Q511&gt;7501)*(Q511&lt;10000),175,200))))</f>
        <v>200</v>
      </c>
      <c r="U511" s="13">
        <v>0</v>
      </c>
      <c r="V511" s="13">
        <f t="shared" ref="V511:V516" si="240">SUM(R511:U511)</f>
        <v>1067.3225806451612</v>
      </c>
      <c r="W511" s="13">
        <f t="shared" ref="W511:W574" si="241">Q511-V511</f>
        <v>14755.290322580646</v>
      </c>
      <c r="Y511" s="13">
        <f t="shared" ref="Y511:Y516" si="242">W511-X511</f>
        <v>14755.290322580646</v>
      </c>
      <c r="Z511" s="12">
        <f t="shared" si="215"/>
        <v>646.89516129032256</v>
      </c>
      <c r="AA511" s="12">
        <f t="shared" si="225"/>
        <v>752</v>
      </c>
      <c r="AB511" s="1">
        <f t="shared" ref="AB511:AB516" si="243">U511*3</f>
        <v>0</v>
      </c>
      <c r="AC511" s="16">
        <f t="shared" ref="AC511:AC516" si="244">SUM(Z511:AB511)</f>
        <v>1398.8951612903224</v>
      </c>
      <c r="AD511" s="16">
        <f t="shared" ref="AD511:AD516" si="245">Q511+AC511</f>
        <v>17221.508064516129</v>
      </c>
    </row>
    <row r="512" spans="1:30" x14ac:dyDescent="0.2">
      <c r="A512" s="10" t="s">
        <v>909</v>
      </c>
      <c r="B512" s="11" t="e">
        <f t="shared" si="221"/>
        <v>#REF!</v>
      </c>
      <c r="C512" s="11" t="s">
        <v>473</v>
      </c>
      <c r="D512" s="11" t="s">
        <v>52</v>
      </c>
      <c r="F512" s="22">
        <v>42902</v>
      </c>
      <c r="G512" s="11">
        <v>32</v>
      </c>
      <c r="H512" s="13">
        <f t="shared" si="217"/>
        <v>5161.2903225806449</v>
      </c>
      <c r="I512" s="13">
        <f t="shared" si="198"/>
        <v>0</v>
      </c>
      <c r="J512" s="13">
        <f t="shared" si="236"/>
        <v>258.06451612903226</v>
      </c>
      <c r="L512" s="13">
        <f t="shared" si="218"/>
        <v>825.80645161290317</v>
      </c>
      <c r="N512" s="13">
        <f>((3391+509)/G$3)*G512</f>
        <v>4025.8064516129034</v>
      </c>
      <c r="O512" s="13">
        <v>0</v>
      </c>
      <c r="Q512" s="13">
        <f t="shared" si="219"/>
        <v>10270.967741935485</v>
      </c>
      <c r="R512" s="12">
        <f t="shared" si="237"/>
        <v>619.35483870967732</v>
      </c>
      <c r="S512" s="12">
        <f t="shared" si="238"/>
        <v>180</v>
      </c>
      <c r="T512" s="21">
        <f t="shared" si="239"/>
        <v>200</v>
      </c>
      <c r="U512" s="13">
        <v>0</v>
      </c>
      <c r="V512" s="13">
        <f t="shared" si="240"/>
        <v>999.35483870967732</v>
      </c>
      <c r="W512" s="13">
        <f t="shared" si="241"/>
        <v>9271.6129032258068</v>
      </c>
      <c r="Y512" s="13">
        <f t="shared" si="242"/>
        <v>9271.6129032258068</v>
      </c>
      <c r="Z512" s="12">
        <f t="shared" si="215"/>
        <v>678.70967741935488</v>
      </c>
      <c r="AA512" s="12">
        <f t="shared" si="225"/>
        <v>488</v>
      </c>
      <c r="AB512" s="1">
        <f t="shared" si="243"/>
        <v>0</v>
      </c>
      <c r="AC512" s="16">
        <f t="shared" si="244"/>
        <v>1166.7096774193549</v>
      </c>
      <c r="AD512" s="16">
        <f t="shared" si="245"/>
        <v>11437.677419354839</v>
      </c>
    </row>
    <row r="513" spans="1:30" x14ac:dyDescent="0.2">
      <c r="A513" s="10" t="s">
        <v>1125</v>
      </c>
      <c r="B513" s="11" t="e">
        <f t="shared" si="221"/>
        <v>#REF!</v>
      </c>
      <c r="C513" s="11" t="s">
        <v>942</v>
      </c>
      <c r="D513" s="11" t="s">
        <v>52</v>
      </c>
      <c r="F513" s="22">
        <v>42954</v>
      </c>
      <c r="G513" s="11">
        <v>25</v>
      </c>
      <c r="H513" s="13">
        <f t="shared" si="217"/>
        <v>4032.2580645161288</v>
      </c>
      <c r="I513" s="13">
        <f t="shared" si="198"/>
        <v>0</v>
      </c>
      <c r="J513" s="13">
        <f t="shared" si="236"/>
        <v>201.61290322580646</v>
      </c>
      <c r="L513" s="13">
        <f t="shared" si="218"/>
        <v>645.16129032258061</v>
      </c>
      <c r="N513" s="13">
        <f>((3391+6132)/G$3)*G513</f>
        <v>7679.8387096774195</v>
      </c>
      <c r="O513" s="13">
        <v>0</v>
      </c>
      <c r="Q513" s="13">
        <f t="shared" si="219"/>
        <v>12558.870967741936</v>
      </c>
      <c r="R513" s="12">
        <f t="shared" si="237"/>
        <v>483.87096774193543</v>
      </c>
      <c r="S513" s="12">
        <f t="shared" si="238"/>
        <v>220</v>
      </c>
      <c r="T513" s="21">
        <f t="shared" si="239"/>
        <v>200</v>
      </c>
      <c r="U513" s="13">
        <v>0</v>
      </c>
      <c r="V513" s="13">
        <f t="shared" si="240"/>
        <v>903.87096774193537</v>
      </c>
      <c r="W513" s="13">
        <f t="shared" si="241"/>
        <v>11655</v>
      </c>
      <c r="Y513" s="13">
        <f t="shared" si="242"/>
        <v>11655</v>
      </c>
      <c r="Z513" s="12">
        <f t="shared" si="215"/>
        <v>530.24193548387098</v>
      </c>
      <c r="AA513" s="12">
        <f t="shared" si="225"/>
        <v>597</v>
      </c>
      <c r="AB513" s="1">
        <f t="shared" si="243"/>
        <v>0</v>
      </c>
      <c r="AC513" s="16">
        <f t="shared" si="244"/>
        <v>1127.241935483871</v>
      </c>
      <c r="AD513" s="16">
        <f t="shared" si="245"/>
        <v>13686.112903225807</v>
      </c>
    </row>
    <row r="514" spans="1:30" x14ac:dyDescent="0.2">
      <c r="A514" s="10" t="s">
        <v>1126</v>
      </c>
      <c r="B514" s="11" t="e">
        <f t="shared" si="221"/>
        <v>#REF!</v>
      </c>
      <c r="C514" s="11" t="s">
        <v>943</v>
      </c>
      <c r="D514" s="11" t="s">
        <v>52</v>
      </c>
      <c r="F514" s="22">
        <v>42958</v>
      </c>
      <c r="G514" s="11">
        <v>32</v>
      </c>
      <c r="H514" s="13">
        <f t="shared" si="217"/>
        <v>5161.2903225806449</v>
      </c>
      <c r="I514" s="13">
        <f t="shared" si="198"/>
        <v>0</v>
      </c>
      <c r="J514" s="13">
        <f t="shared" si="236"/>
        <v>258.06451612903226</v>
      </c>
      <c r="L514" s="13">
        <f t="shared" si="218"/>
        <v>825.80645161290317</v>
      </c>
      <c r="N514" s="13">
        <f>((3391)/G$3)*G514</f>
        <v>3500.3870967741937</v>
      </c>
      <c r="O514" s="13">
        <v>0</v>
      </c>
      <c r="Q514" s="13">
        <f t="shared" si="219"/>
        <v>9745.5483870967746</v>
      </c>
      <c r="R514" s="12">
        <f t="shared" si="237"/>
        <v>619.35483870967732</v>
      </c>
      <c r="S514" s="12">
        <f t="shared" si="238"/>
        <v>171</v>
      </c>
      <c r="T514" s="21">
        <f t="shared" si="239"/>
        <v>175</v>
      </c>
      <c r="U514" s="13">
        <v>0</v>
      </c>
      <c r="V514" s="13">
        <f t="shared" si="240"/>
        <v>965.35483870967732</v>
      </c>
      <c r="W514" s="13">
        <f t="shared" si="241"/>
        <v>8780.1935483870966</v>
      </c>
      <c r="Y514" s="13">
        <f t="shared" si="242"/>
        <v>8780.1935483870966</v>
      </c>
      <c r="Z514" s="12">
        <f t="shared" si="215"/>
        <v>678.70967741935488</v>
      </c>
      <c r="AA514" s="12">
        <f t="shared" si="225"/>
        <v>463</v>
      </c>
      <c r="AB514" s="1">
        <f t="shared" si="243"/>
        <v>0</v>
      </c>
      <c r="AC514" s="16">
        <f t="shared" si="244"/>
        <v>1141.7096774193549</v>
      </c>
      <c r="AD514" s="16">
        <f t="shared" si="245"/>
        <v>10887.258064516129</v>
      </c>
    </row>
    <row r="515" spans="1:30" x14ac:dyDescent="0.2">
      <c r="A515" s="10" t="s">
        <v>1127</v>
      </c>
      <c r="B515" s="11" t="e">
        <f t="shared" si="221"/>
        <v>#REF!</v>
      </c>
      <c r="C515" s="11" t="s">
        <v>944</v>
      </c>
      <c r="D515" s="11" t="s">
        <v>52</v>
      </c>
      <c r="F515" s="22">
        <v>42957</v>
      </c>
      <c r="G515" s="11">
        <v>30</v>
      </c>
      <c r="H515" s="13">
        <f t="shared" si="217"/>
        <v>4838.7096774193542</v>
      </c>
      <c r="I515" s="13">
        <f t="shared" si="198"/>
        <v>0</v>
      </c>
      <c r="J515" s="13">
        <f t="shared" si="236"/>
        <v>241.93548387096772</v>
      </c>
      <c r="L515" s="13">
        <f t="shared" si="218"/>
        <v>774.19354838709671</v>
      </c>
      <c r="N515" s="13">
        <f>((3900)/G$3)*G515</f>
        <v>3774.1935483870971</v>
      </c>
      <c r="O515" s="13">
        <v>0</v>
      </c>
      <c r="Q515" s="13">
        <f t="shared" si="219"/>
        <v>9629.0322580645152</v>
      </c>
      <c r="R515" s="12">
        <f t="shared" si="237"/>
        <v>580.64516129032245</v>
      </c>
      <c r="S515" s="12">
        <f t="shared" si="238"/>
        <v>169</v>
      </c>
      <c r="T515" s="21">
        <f t="shared" si="239"/>
        <v>175</v>
      </c>
      <c r="U515" s="13">
        <v>0</v>
      </c>
      <c r="V515" s="13">
        <f t="shared" si="240"/>
        <v>924.64516129032245</v>
      </c>
      <c r="W515" s="13">
        <f t="shared" si="241"/>
        <v>8704.3870967741932</v>
      </c>
      <c r="Y515" s="13">
        <f t="shared" si="242"/>
        <v>8704.3870967741932</v>
      </c>
      <c r="Z515" s="12">
        <f t="shared" si="215"/>
        <v>636.29032258064512</v>
      </c>
      <c r="AA515" s="12">
        <f t="shared" si="225"/>
        <v>458</v>
      </c>
      <c r="AB515" s="1">
        <f t="shared" si="243"/>
        <v>0</v>
      </c>
      <c r="AC515" s="16">
        <f t="shared" si="244"/>
        <v>1094.2903225806451</v>
      </c>
      <c r="AD515" s="16">
        <f t="shared" si="245"/>
        <v>10723.322580645161</v>
      </c>
    </row>
    <row r="516" spans="1:30" x14ac:dyDescent="0.2">
      <c r="A516" s="10" t="s">
        <v>1128</v>
      </c>
      <c r="B516" s="11" t="e">
        <f t="shared" si="221"/>
        <v>#REF!</v>
      </c>
      <c r="C516" s="11" t="s">
        <v>945</v>
      </c>
      <c r="D516" s="11" t="s">
        <v>52</v>
      </c>
      <c r="F516" s="22">
        <v>42963</v>
      </c>
      <c r="G516" s="11">
        <v>34</v>
      </c>
      <c r="H516" s="13">
        <f t="shared" si="217"/>
        <v>5483.8709677419356</v>
      </c>
      <c r="I516" s="13">
        <f t="shared" si="198"/>
        <v>0</v>
      </c>
      <c r="J516" s="13">
        <f t="shared" si="236"/>
        <v>274.19354838709677</v>
      </c>
      <c r="L516" s="13">
        <f t="shared" si="218"/>
        <v>877.41935483870964</v>
      </c>
      <c r="N516" s="13">
        <f>((3391+7150)/G$3)*G516</f>
        <v>11561.096774193549</v>
      </c>
      <c r="O516" s="13">
        <v>0</v>
      </c>
      <c r="Q516" s="13">
        <f t="shared" si="219"/>
        <v>18196.580645161292</v>
      </c>
      <c r="R516" s="12">
        <f t="shared" si="237"/>
        <v>658.0645161290322</v>
      </c>
      <c r="S516" s="12">
        <f t="shared" si="238"/>
        <v>319</v>
      </c>
      <c r="T516" s="21">
        <f t="shared" si="239"/>
        <v>200</v>
      </c>
      <c r="U516" s="13">
        <v>0</v>
      </c>
      <c r="V516" s="13">
        <f t="shared" si="240"/>
        <v>1177.0645161290322</v>
      </c>
      <c r="W516" s="13">
        <f t="shared" si="241"/>
        <v>17019.516129032258</v>
      </c>
      <c r="Y516" s="13">
        <f t="shared" si="242"/>
        <v>17019.516129032258</v>
      </c>
      <c r="Z516" s="12">
        <f t="shared" si="215"/>
        <v>721.12903225806451</v>
      </c>
      <c r="AA516" s="12">
        <f t="shared" si="225"/>
        <v>865</v>
      </c>
      <c r="AB516" s="1">
        <f t="shared" si="243"/>
        <v>0</v>
      </c>
      <c r="AC516" s="16">
        <f t="shared" si="244"/>
        <v>1586.1290322580644</v>
      </c>
      <c r="AD516" s="16">
        <f t="shared" si="245"/>
        <v>19782.709677419356</v>
      </c>
    </row>
    <row r="517" spans="1:30" x14ac:dyDescent="0.2">
      <c r="A517" s="10" t="s">
        <v>94</v>
      </c>
      <c r="B517" s="11" t="e">
        <f t="shared" si="221"/>
        <v>#REF!</v>
      </c>
      <c r="C517" s="11" t="s">
        <v>75</v>
      </c>
      <c r="D517" s="11" t="s">
        <v>67</v>
      </c>
      <c r="F517" s="20">
        <v>42491</v>
      </c>
      <c r="G517" s="11">
        <v>28</v>
      </c>
      <c r="H517" s="13">
        <f t="shared" si="217"/>
        <v>4516.1290322580644</v>
      </c>
      <c r="I517" s="13">
        <f t="shared" si="198"/>
        <v>0</v>
      </c>
      <c r="J517" s="13">
        <f t="shared" si="236"/>
        <v>225.80645161290323</v>
      </c>
      <c r="L517" s="13">
        <f t="shared" si="218"/>
        <v>722.58064516129025</v>
      </c>
      <c r="N517" s="13">
        <f>((1950+2000+1502)/G$3)*G517</f>
        <v>4924.3870967741932</v>
      </c>
      <c r="O517" s="13">
        <v>0</v>
      </c>
      <c r="Q517" s="13">
        <f t="shared" si="219"/>
        <v>10388.903225806451</v>
      </c>
      <c r="R517" s="12">
        <f t="shared" si="194"/>
        <v>541.93548387096769</v>
      </c>
      <c r="S517" s="12">
        <f t="shared" si="222"/>
        <v>182</v>
      </c>
      <c r="T517" s="21">
        <v>0</v>
      </c>
      <c r="U517" s="13">
        <v>0</v>
      </c>
      <c r="V517" s="13">
        <f t="shared" ref="V517" si="246">SUM(R517:U517)</f>
        <v>723.93548387096769</v>
      </c>
      <c r="W517" s="13">
        <f t="shared" si="241"/>
        <v>9664.967741935483</v>
      </c>
      <c r="Y517" s="13">
        <f t="shared" si="228"/>
        <v>9664.967741935483</v>
      </c>
      <c r="Z517" s="12">
        <f t="shared" si="215"/>
        <v>593.87096774193549</v>
      </c>
      <c r="AA517" s="12">
        <f t="shared" si="225"/>
        <v>494</v>
      </c>
      <c r="AB517" s="1">
        <f t="shared" si="200"/>
        <v>0</v>
      </c>
      <c r="AC517" s="16">
        <f t="shared" ref="AC517" si="247">SUM(Z517:AB517)</f>
        <v>1087.8709677419356</v>
      </c>
      <c r="AD517" s="16">
        <f t="shared" si="227"/>
        <v>11476.774193548386</v>
      </c>
    </row>
    <row r="518" spans="1:30" x14ac:dyDescent="0.2">
      <c r="A518" s="10" t="s">
        <v>131</v>
      </c>
      <c r="B518" s="11" t="e">
        <f t="shared" si="221"/>
        <v>#REF!</v>
      </c>
      <c r="C518" s="11" t="s">
        <v>266</v>
      </c>
      <c r="D518" s="11" t="s">
        <v>67</v>
      </c>
      <c r="F518" s="22">
        <v>42637</v>
      </c>
      <c r="G518" s="11">
        <v>31</v>
      </c>
      <c r="H518" s="13">
        <f t="shared" si="217"/>
        <v>5000</v>
      </c>
      <c r="I518" s="13">
        <f t="shared" si="198"/>
        <v>0</v>
      </c>
      <c r="J518" s="13">
        <f t="shared" si="236"/>
        <v>250</v>
      </c>
      <c r="L518" s="13">
        <f t="shared" si="218"/>
        <v>800</v>
      </c>
      <c r="N518" s="13">
        <f t="shared" ref="N518:N538" si="248">((1950+2000)/G$3)*G518</f>
        <v>3950</v>
      </c>
      <c r="O518" s="13">
        <v>0</v>
      </c>
      <c r="Q518" s="13">
        <f t="shared" ref="Q518:Q574" si="249">SUM(H518:P518)</f>
        <v>10000</v>
      </c>
      <c r="R518" s="12">
        <f t="shared" ref="R518:R574" si="250">(H518+I518)*12%</f>
        <v>600</v>
      </c>
      <c r="S518" s="12">
        <f t="shared" si="222"/>
        <v>175</v>
      </c>
      <c r="T518" s="21">
        <v>0</v>
      </c>
      <c r="U518" s="13">
        <v>0</v>
      </c>
      <c r="V518" s="13">
        <f t="shared" ref="V518" si="251">SUM(R518:U518)</f>
        <v>775</v>
      </c>
      <c r="W518" s="13">
        <f t="shared" si="241"/>
        <v>9225</v>
      </c>
      <c r="Y518" s="13">
        <f t="shared" si="228"/>
        <v>9225</v>
      </c>
      <c r="Z518" s="12">
        <f t="shared" si="215"/>
        <v>657.5</v>
      </c>
      <c r="AA518" s="12">
        <f t="shared" si="225"/>
        <v>475</v>
      </c>
      <c r="AB518" s="1">
        <f t="shared" si="200"/>
        <v>0</v>
      </c>
      <c r="AC518" s="16">
        <f t="shared" ref="AC518" si="252">SUM(Z518:AB518)</f>
        <v>1132.5</v>
      </c>
      <c r="AD518" s="16">
        <f t="shared" si="227"/>
        <v>11132.5</v>
      </c>
    </row>
    <row r="519" spans="1:30" x14ac:dyDescent="0.2">
      <c r="A519" s="10" t="s">
        <v>144</v>
      </c>
      <c r="B519" s="11" t="e">
        <f t="shared" si="221"/>
        <v>#REF!</v>
      </c>
      <c r="C519" s="11" t="s">
        <v>130</v>
      </c>
      <c r="D519" s="11" t="s">
        <v>67</v>
      </c>
      <c r="F519" s="22">
        <v>42644</v>
      </c>
      <c r="G519" s="11">
        <v>33</v>
      </c>
      <c r="H519" s="13">
        <f t="shared" si="217"/>
        <v>5322.5806451612898</v>
      </c>
      <c r="I519" s="13">
        <f t="shared" ref="I519:I574" si="253">((0)/G$3)*G519</f>
        <v>0</v>
      </c>
      <c r="J519" s="13">
        <f t="shared" si="236"/>
        <v>266.12903225806451</v>
      </c>
      <c r="L519" s="13">
        <f t="shared" si="218"/>
        <v>851.61290322580635</v>
      </c>
      <c r="N519" s="13">
        <f t="shared" si="248"/>
        <v>4204.8387096774195</v>
      </c>
      <c r="O519" s="13">
        <v>0</v>
      </c>
      <c r="Q519" s="13">
        <f t="shared" si="249"/>
        <v>10645.16129032258</v>
      </c>
      <c r="R519" s="12">
        <f t="shared" si="250"/>
        <v>638.70967741935476</v>
      </c>
      <c r="S519" s="12">
        <f t="shared" si="222"/>
        <v>187</v>
      </c>
      <c r="T519" s="21">
        <v>0</v>
      </c>
      <c r="U519" s="13">
        <v>0</v>
      </c>
      <c r="V519" s="13">
        <f t="shared" ref="V519:V524" si="254">SUM(R519:U519)</f>
        <v>825.70967741935476</v>
      </c>
      <c r="W519" s="13">
        <f t="shared" si="241"/>
        <v>9819.4516129032254</v>
      </c>
      <c r="Y519" s="13">
        <f t="shared" si="228"/>
        <v>9819.4516129032254</v>
      </c>
      <c r="Z519" s="12">
        <f t="shared" si="215"/>
        <v>699.91935483870964</v>
      </c>
      <c r="AA519" s="12">
        <f t="shared" si="225"/>
        <v>506</v>
      </c>
      <c r="AB519" s="1">
        <f t="shared" ref="AB519:AB574" si="255">U519*3</f>
        <v>0</v>
      </c>
      <c r="AC519" s="16">
        <f t="shared" ref="AC519:AC538" si="256">SUM(Z519:AB519)</f>
        <v>1205.9193548387098</v>
      </c>
      <c r="AD519" s="16">
        <f t="shared" si="227"/>
        <v>11851.08064516129</v>
      </c>
    </row>
    <row r="520" spans="1:30" x14ac:dyDescent="0.2">
      <c r="A520" s="10" t="s">
        <v>167</v>
      </c>
      <c r="B520" s="11" t="e">
        <f t="shared" si="221"/>
        <v>#REF!</v>
      </c>
      <c r="C520" s="11" t="s">
        <v>684</v>
      </c>
      <c r="D520" s="11" t="s">
        <v>67</v>
      </c>
      <c r="F520" s="22">
        <v>42681</v>
      </c>
      <c r="G520" s="11">
        <v>35</v>
      </c>
      <c r="H520" s="13">
        <f t="shared" si="217"/>
        <v>5645.1612903225805</v>
      </c>
      <c r="I520" s="13">
        <f t="shared" si="253"/>
        <v>0</v>
      </c>
      <c r="J520" s="13">
        <f t="shared" si="236"/>
        <v>282.25806451612902</v>
      </c>
      <c r="L520" s="13">
        <f t="shared" si="218"/>
        <v>903.22580645161281</v>
      </c>
      <c r="N520" s="13">
        <f t="shared" si="248"/>
        <v>4459.677419354839</v>
      </c>
      <c r="O520" s="13">
        <v>0</v>
      </c>
      <c r="P520" s="13">
        <v>250</v>
      </c>
      <c r="Q520" s="13">
        <f t="shared" si="249"/>
        <v>11540.322580645161</v>
      </c>
      <c r="R520" s="12">
        <f t="shared" si="250"/>
        <v>677.41935483870964</v>
      </c>
      <c r="S520" s="12">
        <f t="shared" si="222"/>
        <v>202</v>
      </c>
      <c r="T520" s="21">
        <v>0</v>
      </c>
      <c r="U520" s="13">
        <v>0</v>
      </c>
      <c r="V520" s="13">
        <f t="shared" si="254"/>
        <v>879.41935483870964</v>
      </c>
      <c r="W520" s="13">
        <f t="shared" si="241"/>
        <v>10660.903225806451</v>
      </c>
      <c r="Y520" s="13">
        <f t="shared" si="228"/>
        <v>10660.903225806451</v>
      </c>
      <c r="Z520" s="12">
        <f t="shared" si="215"/>
        <v>742.33870967741939</v>
      </c>
      <c r="AA520" s="12">
        <f t="shared" si="225"/>
        <v>549</v>
      </c>
      <c r="AB520" s="1">
        <f t="shared" si="255"/>
        <v>0</v>
      </c>
      <c r="AC520" s="16">
        <f t="shared" si="256"/>
        <v>1291.3387096774195</v>
      </c>
      <c r="AD520" s="16">
        <f t="shared" si="227"/>
        <v>12831.66129032258</v>
      </c>
    </row>
    <row r="521" spans="1:30" x14ac:dyDescent="0.2">
      <c r="A521" s="10" t="s">
        <v>168</v>
      </c>
      <c r="B521" s="11" t="e">
        <f t="shared" si="221"/>
        <v>#REF!</v>
      </c>
      <c r="C521" s="11" t="s">
        <v>139</v>
      </c>
      <c r="D521" s="11" t="s">
        <v>67</v>
      </c>
      <c r="F521" s="22">
        <v>42682</v>
      </c>
      <c r="G521" s="11">
        <v>33</v>
      </c>
      <c r="H521" s="13">
        <f t="shared" si="217"/>
        <v>5322.5806451612898</v>
      </c>
      <c r="I521" s="13">
        <f t="shared" si="253"/>
        <v>0</v>
      </c>
      <c r="J521" s="13">
        <f t="shared" si="236"/>
        <v>266.12903225806451</v>
      </c>
      <c r="L521" s="13">
        <f t="shared" si="218"/>
        <v>851.61290322580635</v>
      </c>
      <c r="N521" s="13">
        <f t="shared" si="248"/>
        <v>4204.8387096774195</v>
      </c>
      <c r="O521" s="13">
        <v>0</v>
      </c>
      <c r="Q521" s="13">
        <f t="shared" si="249"/>
        <v>10645.16129032258</v>
      </c>
      <c r="R521" s="12">
        <f t="shared" si="250"/>
        <v>638.70967741935476</v>
      </c>
      <c r="S521" s="12">
        <f t="shared" si="222"/>
        <v>187</v>
      </c>
      <c r="T521" s="21">
        <v>0</v>
      </c>
      <c r="U521" s="13">
        <v>0</v>
      </c>
      <c r="V521" s="13">
        <f t="shared" si="254"/>
        <v>825.70967741935476</v>
      </c>
      <c r="W521" s="13">
        <f t="shared" si="241"/>
        <v>9819.4516129032254</v>
      </c>
      <c r="Y521" s="13">
        <f t="shared" si="228"/>
        <v>9819.4516129032254</v>
      </c>
      <c r="Z521" s="12">
        <f t="shared" si="215"/>
        <v>699.91935483870964</v>
      </c>
      <c r="AA521" s="12">
        <f t="shared" si="225"/>
        <v>506</v>
      </c>
      <c r="AB521" s="1">
        <f t="shared" si="255"/>
        <v>0</v>
      </c>
      <c r="AC521" s="16">
        <f t="shared" si="256"/>
        <v>1205.9193548387098</v>
      </c>
      <c r="AD521" s="16">
        <f t="shared" si="227"/>
        <v>11851.08064516129</v>
      </c>
    </row>
    <row r="522" spans="1:30" x14ac:dyDescent="0.2">
      <c r="A522" s="10" t="s">
        <v>191</v>
      </c>
      <c r="B522" s="11" t="e">
        <f t="shared" si="221"/>
        <v>#REF!</v>
      </c>
      <c r="C522" s="11" t="s">
        <v>317</v>
      </c>
      <c r="D522" s="11" t="s">
        <v>67</v>
      </c>
      <c r="F522" s="22">
        <v>42705</v>
      </c>
      <c r="G522" s="11">
        <v>37</v>
      </c>
      <c r="H522" s="13">
        <f t="shared" si="217"/>
        <v>5967.7419354838703</v>
      </c>
      <c r="I522" s="13">
        <f t="shared" si="253"/>
        <v>0</v>
      </c>
      <c r="J522" s="13">
        <f t="shared" si="236"/>
        <v>298.38709677419354</v>
      </c>
      <c r="L522" s="13">
        <f t="shared" si="218"/>
        <v>954.83870967741927</v>
      </c>
      <c r="N522" s="13">
        <f t="shared" si="248"/>
        <v>4714.5161290322585</v>
      </c>
      <c r="O522" s="13">
        <v>0</v>
      </c>
      <c r="P522" s="13">
        <v>750</v>
      </c>
      <c r="Q522" s="13">
        <f t="shared" si="249"/>
        <v>12685.483870967742</v>
      </c>
      <c r="R522" s="12">
        <f t="shared" si="250"/>
        <v>716.1290322580644</v>
      </c>
      <c r="S522" s="12">
        <f t="shared" si="222"/>
        <v>222</v>
      </c>
      <c r="T522" s="21">
        <v>0</v>
      </c>
      <c r="U522" s="13">
        <v>0</v>
      </c>
      <c r="V522" s="13">
        <f t="shared" si="254"/>
        <v>938.1290322580644</v>
      </c>
      <c r="W522" s="13">
        <f t="shared" si="241"/>
        <v>11747.354838709678</v>
      </c>
      <c r="Y522" s="13">
        <f t="shared" si="228"/>
        <v>11747.354838709678</v>
      </c>
      <c r="Z522" s="12">
        <f t="shared" si="215"/>
        <v>784.75806451612902</v>
      </c>
      <c r="AA522" s="12">
        <f t="shared" si="225"/>
        <v>603</v>
      </c>
      <c r="AB522" s="1">
        <f t="shared" si="255"/>
        <v>0</v>
      </c>
      <c r="AC522" s="16">
        <f t="shared" si="256"/>
        <v>1387.758064516129</v>
      </c>
      <c r="AD522" s="16">
        <f t="shared" si="227"/>
        <v>14073.241935483871</v>
      </c>
    </row>
    <row r="523" spans="1:30" x14ac:dyDescent="0.2">
      <c r="A523" s="10" t="s">
        <v>192</v>
      </c>
      <c r="B523" s="11" t="e">
        <f t="shared" si="221"/>
        <v>#REF!</v>
      </c>
      <c r="C523" s="11" t="s">
        <v>156</v>
      </c>
      <c r="D523" s="11" t="s">
        <v>67</v>
      </c>
      <c r="F523" s="22">
        <v>42705</v>
      </c>
      <c r="G523" s="11">
        <v>35</v>
      </c>
      <c r="H523" s="13">
        <f t="shared" si="217"/>
        <v>5645.1612903225805</v>
      </c>
      <c r="I523" s="13">
        <f t="shared" si="253"/>
        <v>0</v>
      </c>
      <c r="J523" s="13">
        <f t="shared" si="236"/>
        <v>282.25806451612902</v>
      </c>
      <c r="L523" s="13">
        <f t="shared" si="218"/>
        <v>903.22580645161281</v>
      </c>
      <c r="N523" s="13">
        <f t="shared" si="248"/>
        <v>4459.677419354839</v>
      </c>
      <c r="O523" s="13">
        <v>0</v>
      </c>
      <c r="P523" s="13">
        <v>250</v>
      </c>
      <c r="Q523" s="13">
        <f t="shared" si="249"/>
        <v>11540.322580645161</v>
      </c>
      <c r="R523" s="12">
        <f t="shared" si="250"/>
        <v>677.41935483870964</v>
      </c>
      <c r="S523" s="12">
        <f t="shared" si="222"/>
        <v>202</v>
      </c>
      <c r="T523" s="21">
        <v>0</v>
      </c>
      <c r="U523" s="13">
        <v>0</v>
      </c>
      <c r="V523" s="13">
        <f t="shared" si="254"/>
        <v>879.41935483870964</v>
      </c>
      <c r="W523" s="13">
        <f t="shared" si="241"/>
        <v>10660.903225806451</v>
      </c>
      <c r="Y523" s="13">
        <f t="shared" si="228"/>
        <v>10660.903225806451</v>
      </c>
      <c r="Z523" s="12">
        <f t="shared" si="215"/>
        <v>742.33870967741939</v>
      </c>
      <c r="AA523" s="12">
        <f t="shared" si="225"/>
        <v>549</v>
      </c>
      <c r="AB523" s="1">
        <f t="shared" si="255"/>
        <v>0</v>
      </c>
      <c r="AC523" s="16">
        <f t="shared" si="256"/>
        <v>1291.3387096774195</v>
      </c>
      <c r="AD523" s="16">
        <f t="shared" si="227"/>
        <v>12831.66129032258</v>
      </c>
    </row>
    <row r="524" spans="1:30" x14ac:dyDescent="0.2">
      <c r="A524" s="10" t="s">
        <v>193</v>
      </c>
      <c r="B524" s="11" t="e">
        <f t="shared" si="221"/>
        <v>#REF!</v>
      </c>
      <c r="C524" s="11" t="s">
        <v>157</v>
      </c>
      <c r="D524" s="11" t="s">
        <v>67</v>
      </c>
      <c r="F524" s="22">
        <v>42705</v>
      </c>
      <c r="G524" s="11">
        <v>36</v>
      </c>
      <c r="H524" s="13">
        <f t="shared" si="217"/>
        <v>5806.4516129032254</v>
      </c>
      <c r="I524" s="13">
        <f t="shared" si="253"/>
        <v>0</v>
      </c>
      <c r="J524" s="13">
        <f t="shared" si="236"/>
        <v>290.32258064516128</v>
      </c>
      <c r="L524" s="13">
        <f t="shared" si="218"/>
        <v>929.0322580645161</v>
      </c>
      <c r="N524" s="13">
        <f t="shared" si="248"/>
        <v>4587.0967741935483</v>
      </c>
      <c r="O524" s="13">
        <v>0</v>
      </c>
      <c r="P524" s="13">
        <v>500</v>
      </c>
      <c r="Q524" s="13">
        <f t="shared" si="249"/>
        <v>12112.903225806451</v>
      </c>
      <c r="R524" s="12">
        <f t="shared" si="250"/>
        <v>696.77419354838707</v>
      </c>
      <c r="S524" s="12">
        <f t="shared" si="222"/>
        <v>212</v>
      </c>
      <c r="T524" s="21">
        <v>0</v>
      </c>
      <c r="U524" s="13">
        <v>0</v>
      </c>
      <c r="V524" s="13">
        <f t="shared" si="254"/>
        <v>908.77419354838707</v>
      </c>
      <c r="W524" s="13">
        <f t="shared" si="241"/>
        <v>11204.129032258064</v>
      </c>
      <c r="Y524" s="13">
        <f t="shared" si="228"/>
        <v>11204.129032258064</v>
      </c>
      <c r="Z524" s="12">
        <f t="shared" si="215"/>
        <v>763.54838709677415</v>
      </c>
      <c r="AA524" s="12">
        <f t="shared" si="225"/>
        <v>576</v>
      </c>
      <c r="AB524" s="1">
        <f t="shared" si="255"/>
        <v>0</v>
      </c>
      <c r="AC524" s="16">
        <f t="shared" si="256"/>
        <v>1339.5483870967741</v>
      </c>
      <c r="AD524" s="16">
        <f t="shared" si="227"/>
        <v>13452.451612903225</v>
      </c>
    </row>
    <row r="525" spans="1:30" x14ac:dyDescent="0.2">
      <c r="A525" s="10" t="s">
        <v>284</v>
      </c>
      <c r="B525" s="11" t="e">
        <f t="shared" si="221"/>
        <v>#REF!</v>
      </c>
      <c r="C525" s="11" t="s">
        <v>221</v>
      </c>
      <c r="D525" s="11" t="s">
        <v>67</v>
      </c>
      <c r="F525" s="22">
        <v>42767</v>
      </c>
      <c r="G525" s="11">
        <v>34</v>
      </c>
      <c r="H525" s="13">
        <f t="shared" si="217"/>
        <v>5483.8709677419356</v>
      </c>
      <c r="I525" s="13">
        <f t="shared" si="253"/>
        <v>0</v>
      </c>
      <c r="J525" s="13">
        <f t="shared" si="236"/>
        <v>274.19354838709677</v>
      </c>
      <c r="L525" s="13">
        <f t="shared" si="218"/>
        <v>877.41935483870964</v>
      </c>
      <c r="N525" s="13">
        <f t="shared" si="248"/>
        <v>4332.2580645161288</v>
      </c>
      <c r="O525" s="13">
        <v>0</v>
      </c>
      <c r="Q525" s="13">
        <f t="shared" si="249"/>
        <v>10967.741935483871</v>
      </c>
      <c r="R525" s="12">
        <f t="shared" si="250"/>
        <v>658.0645161290322</v>
      </c>
      <c r="S525" s="12">
        <f t="shared" si="222"/>
        <v>192</v>
      </c>
      <c r="T525" s="21">
        <v>0</v>
      </c>
      <c r="U525" s="13">
        <v>0</v>
      </c>
      <c r="V525" s="13">
        <f t="shared" ref="V525:V527" si="257">SUM(R525:U525)</f>
        <v>850.0645161290322</v>
      </c>
      <c r="W525" s="13">
        <f t="shared" si="241"/>
        <v>10117.677419354839</v>
      </c>
      <c r="Y525" s="13">
        <f t="shared" si="228"/>
        <v>10117.677419354839</v>
      </c>
      <c r="Z525" s="12">
        <f t="shared" si="215"/>
        <v>721.12903225806451</v>
      </c>
      <c r="AA525" s="12">
        <f t="shared" si="225"/>
        <v>521</v>
      </c>
      <c r="AB525" s="1">
        <f t="shared" si="255"/>
        <v>0</v>
      </c>
      <c r="AC525" s="16">
        <f t="shared" si="256"/>
        <v>1242.1290322580644</v>
      </c>
      <c r="AD525" s="16">
        <f t="shared" si="227"/>
        <v>12209.870967741936</v>
      </c>
    </row>
    <row r="526" spans="1:30" x14ac:dyDescent="0.2">
      <c r="A526" s="10" t="s">
        <v>286</v>
      </c>
      <c r="B526" s="11" t="e">
        <f t="shared" si="221"/>
        <v>#REF!</v>
      </c>
      <c r="C526" s="11" t="s">
        <v>223</v>
      </c>
      <c r="D526" s="11" t="s">
        <v>67</v>
      </c>
      <c r="F526" s="22">
        <v>42767</v>
      </c>
      <c r="G526" s="11">
        <v>35</v>
      </c>
      <c r="H526" s="13">
        <f t="shared" si="217"/>
        <v>5645.1612903225805</v>
      </c>
      <c r="I526" s="13">
        <f t="shared" si="253"/>
        <v>0</v>
      </c>
      <c r="J526" s="13">
        <f t="shared" si="236"/>
        <v>282.25806451612902</v>
      </c>
      <c r="L526" s="13">
        <f t="shared" si="218"/>
        <v>903.22580645161281</v>
      </c>
      <c r="N526" s="13">
        <f t="shared" si="248"/>
        <v>4459.677419354839</v>
      </c>
      <c r="O526" s="13">
        <v>0</v>
      </c>
      <c r="P526" s="13">
        <v>250</v>
      </c>
      <c r="Q526" s="13">
        <f t="shared" si="249"/>
        <v>11540.322580645161</v>
      </c>
      <c r="R526" s="12">
        <f t="shared" si="250"/>
        <v>677.41935483870964</v>
      </c>
      <c r="S526" s="12">
        <f t="shared" si="222"/>
        <v>202</v>
      </c>
      <c r="T526" s="21">
        <v>0</v>
      </c>
      <c r="U526" s="13">
        <v>0</v>
      </c>
      <c r="V526" s="13">
        <f t="shared" si="257"/>
        <v>879.41935483870964</v>
      </c>
      <c r="W526" s="13">
        <f t="shared" si="241"/>
        <v>10660.903225806451</v>
      </c>
      <c r="Y526" s="13">
        <f t="shared" si="228"/>
        <v>10660.903225806451</v>
      </c>
      <c r="Z526" s="12">
        <f t="shared" si="215"/>
        <v>742.33870967741939</v>
      </c>
      <c r="AA526" s="12">
        <f t="shared" si="225"/>
        <v>549</v>
      </c>
      <c r="AB526" s="1">
        <f t="shared" si="255"/>
        <v>0</v>
      </c>
      <c r="AC526" s="16">
        <f t="shared" si="256"/>
        <v>1291.3387096774195</v>
      </c>
      <c r="AD526" s="16">
        <f t="shared" si="227"/>
        <v>12831.66129032258</v>
      </c>
    </row>
    <row r="527" spans="1:30" x14ac:dyDescent="0.2">
      <c r="A527" s="10" t="s">
        <v>287</v>
      </c>
      <c r="B527" s="11" t="e">
        <f t="shared" si="221"/>
        <v>#REF!</v>
      </c>
      <c r="C527" s="11" t="s">
        <v>224</v>
      </c>
      <c r="D527" s="11" t="s">
        <v>67</v>
      </c>
      <c r="F527" s="22">
        <v>42767</v>
      </c>
      <c r="G527" s="11">
        <v>11</v>
      </c>
      <c r="H527" s="13">
        <f t="shared" si="217"/>
        <v>1774.1935483870966</v>
      </c>
      <c r="I527" s="13">
        <f t="shared" si="253"/>
        <v>0</v>
      </c>
      <c r="J527" s="13">
        <f t="shared" si="236"/>
        <v>88.709677419354833</v>
      </c>
      <c r="L527" s="13">
        <f t="shared" si="218"/>
        <v>283.87096774193549</v>
      </c>
      <c r="N527" s="13">
        <f t="shared" si="248"/>
        <v>1401.6129032258066</v>
      </c>
      <c r="O527" s="13">
        <v>0</v>
      </c>
      <c r="Q527" s="13">
        <f t="shared" si="249"/>
        <v>3548.3870967741932</v>
      </c>
      <c r="R527" s="12">
        <f t="shared" si="250"/>
        <v>212.90322580645159</v>
      </c>
      <c r="S527" s="12">
        <f t="shared" si="222"/>
        <v>63</v>
      </c>
      <c r="T527" s="21">
        <v>0</v>
      </c>
      <c r="U527" s="13">
        <v>0</v>
      </c>
      <c r="V527" s="13">
        <f t="shared" si="257"/>
        <v>275.90322580645159</v>
      </c>
      <c r="W527" s="13">
        <f t="shared" si="241"/>
        <v>3272.4838709677415</v>
      </c>
      <c r="Y527" s="13">
        <f t="shared" si="228"/>
        <v>3272.4838709677415</v>
      </c>
      <c r="Z527" s="12">
        <f t="shared" si="215"/>
        <v>233.3064516129032</v>
      </c>
      <c r="AA527" s="12">
        <f t="shared" si="225"/>
        <v>169</v>
      </c>
      <c r="AB527" s="1">
        <f t="shared" si="255"/>
        <v>0</v>
      </c>
      <c r="AC527" s="16">
        <f t="shared" si="256"/>
        <v>402.30645161290317</v>
      </c>
      <c r="AD527" s="16">
        <f t="shared" si="227"/>
        <v>3950.6935483870966</v>
      </c>
    </row>
    <row r="528" spans="1:30" x14ac:dyDescent="0.2">
      <c r="A528" s="10" t="s">
        <v>423</v>
      </c>
      <c r="B528" s="11" t="e">
        <f t="shared" si="221"/>
        <v>#REF!</v>
      </c>
      <c r="C528" s="11" t="s">
        <v>318</v>
      </c>
      <c r="D528" s="11" t="s">
        <v>67</v>
      </c>
      <c r="F528" s="22">
        <v>42826</v>
      </c>
      <c r="G528" s="11">
        <v>37</v>
      </c>
      <c r="H528" s="13">
        <f t="shared" si="217"/>
        <v>5967.7419354838703</v>
      </c>
      <c r="I528" s="13">
        <f t="shared" si="253"/>
        <v>0</v>
      </c>
      <c r="J528" s="13">
        <f t="shared" si="236"/>
        <v>298.38709677419354</v>
      </c>
      <c r="L528" s="13">
        <f t="shared" si="218"/>
        <v>954.83870967741927</v>
      </c>
      <c r="N528" s="13">
        <f t="shared" si="248"/>
        <v>4714.5161290322585</v>
      </c>
      <c r="O528" s="13">
        <v>0</v>
      </c>
      <c r="P528" s="13">
        <v>750</v>
      </c>
      <c r="Q528" s="13">
        <f t="shared" si="249"/>
        <v>12685.483870967742</v>
      </c>
      <c r="R528" s="12">
        <f t="shared" si="250"/>
        <v>716.1290322580644</v>
      </c>
      <c r="S528" s="12">
        <f t="shared" si="222"/>
        <v>222</v>
      </c>
      <c r="T528" s="21">
        <v>0</v>
      </c>
      <c r="U528" s="13">
        <v>0</v>
      </c>
      <c r="V528" s="13">
        <f t="shared" ref="V528:V530" si="258">SUM(R528:U528)</f>
        <v>938.1290322580644</v>
      </c>
      <c r="W528" s="13">
        <f t="shared" si="241"/>
        <v>11747.354838709678</v>
      </c>
      <c r="Y528" s="13">
        <f t="shared" si="228"/>
        <v>11747.354838709678</v>
      </c>
      <c r="Z528" s="12">
        <f t="shared" si="215"/>
        <v>784.75806451612902</v>
      </c>
      <c r="AA528" s="12">
        <f t="shared" si="225"/>
        <v>603</v>
      </c>
      <c r="AB528" s="1">
        <f t="shared" si="255"/>
        <v>0</v>
      </c>
      <c r="AC528" s="16">
        <f t="shared" si="256"/>
        <v>1387.758064516129</v>
      </c>
      <c r="AD528" s="16">
        <f t="shared" si="227"/>
        <v>14073.241935483871</v>
      </c>
    </row>
    <row r="529" spans="1:30" x14ac:dyDescent="0.2">
      <c r="A529" s="10" t="s">
        <v>425</v>
      </c>
      <c r="B529" s="11" t="e">
        <f t="shared" si="221"/>
        <v>#REF!</v>
      </c>
      <c r="C529" s="11" t="s">
        <v>320</v>
      </c>
      <c r="D529" s="11" t="s">
        <v>67</v>
      </c>
      <c r="F529" s="22">
        <v>42826</v>
      </c>
      <c r="G529" s="11">
        <v>35</v>
      </c>
      <c r="H529" s="13">
        <f t="shared" si="217"/>
        <v>5645.1612903225805</v>
      </c>
      <c r="I529" s="13">
        <f t="shared" si="253"/>
        <v>0</v>
      </c>
      <c r="J529" s="13">
        <f t="shared" si="236"/>
        <v>282.25806451612902</v>
      </c>
      <c r="L529" s="13">
        <f t="shared" si="218"/>
        <v>903.22580645161281</v>
      </c>
      <c r="N529" s="13">
        <f t="shared" si="248"/>
        <v>4459.677419354839</v>
      </c>
      <c r="O529" s="13">
        <v>0</v>
      </c>
      <c r="P529" s="13">
        <v>250</v>
      </c>
      <c r="Q529" s="13">
        <f t="shared" si="249"/>
        <v>11540.322580645161</v>
      </c>
      <c r="R529" s="12">
        <f t="shared" si="250"/>
        <v>677.41935483870964</v>
      </c>
      <c r="S529" s="12">
        <f t="shared" si="222"/>
        <v>202</v>
      </c>
      <c r="T529" s="21">
        <v>0</v>
      </c>
      <c r="U529" s="13">
        <v>0</v>
      </c>
      <c r="V529" s="13">
        <f t="shared" si="258"/>
        <v>879.41935483870964</v>
      </c>
      <c r="W529" s="13">
        <f t="shared" si="241"/>
        <v>10660.903225806451</v>
      </c>
      <c r="Y529" s="13">
        <f t="shared" si="228"/>
        <v>10660.903225806451</v>
      </c>
      <c r="Z529" s="12">
        <f t="shared" si="215"/>
        <v>742.33870967741939</v>
      </c>
      <c r="AA529" s="12">
        <f t="shared" si="225"/>
        <v>549</v>
      </c>
      <c r="AB529" s="1">
        <f t="shared" si="255"/>
        <v>0</v>
      </c>
      <c r="AC529" s="16">
        <f t="shared" si="256"/>
        <v>1291.3387096774195</v>
      </c>
      <c r="AD529" s="16">
        <f t="shared" si="227"/>
        <v>12831.66129032258</v>
      </c>
    </row>
    <row r="530" spans="1:30" x14ac:dyDescent="0.2">
      <c r="A530" s="10" t="s">
        <v>426</v>
      </c>
      <c r="B530" s="11" t="e">
        <f t="shared" si="221"/>
        <v>#REF!</v>
      </c>
      <c r="C530" s="11" t="s">
        <v>321</v>
      </c>
      <c r="D530" s="11" t="s">
        <v>67</v>
      </c>
      <c r="F530" s="22">
        <v>42826</v>
      </c>
      <c r="G530" s="11">
        <v>37</v>
      </c>
      <c r="H530" s="13">
        <f t="shared" si="217"/>
        <v>5967.7419354838703</v>
      </c>
      <c r="I530" s="13">
        <f t="shared" si="253"/>
        <v>0</v>
      </c>
      <c r="J530" s="13">
        <f t="shared" si="236"/>
        <v>298.38709677419354</v>
      </c>
      <c r="L530" s="13">
        <f t="shared" si="218"/>
        <v>954.83870967741927</v>
      </c>
      <c r="N530" s="13">
        <f t="shared" si="248"/>
        <v>4714.5161290322585</v>
      </c>
      <c r="O530" s="13">
        <v>0</v>
      </c>
      <c r="P530" s="13">
        <v>750</v>
      </c>
      <c r="Q530" s="13">
        <f t="shared" si="249"/>
        <v>12685.483870967742</v>
      </c>
      <c r="R530" s="12">
        <f t="shared" si="250"/>
        <v>716.1290322580644</v>
      </c>
      <c r="S530" s="12">
        <f t="shared" si="222"/>
        <v>222</v>
      </c>
      <c r="T530" s="21">
        <v>0</v>
      </c>
      <c r="U530" s="13">
        <v>0</v>
      </c>
      <c r="V530" s="13">
        <f t="shared" si="258"/>
        <v>938.1290322580644</v>
      </c>
      <c r="W530" s="13">
        <f t="shared" si="241"/>
        <v>11747.354838709678</v>
      </c>
      <c r="Y530" s="13">
        <f t="shared" si="228"/>
        <v>11747.354838709678</v>
      </c>
      <c r="Z530" s="12">
        <f t="shared" si="215"/>
        <v>784.75806451612902</v>
      </c>
      <c r="AA530" s="12">
        <f t="shared" si="225"/>
        <v>603</v>
      </c>
      <c r="AB530" s="1">
        <f t="shared" si="255"/>
        <v>0</v>
      </c>
      <c r="AC530" s="16">
        <f t="shared" si="256"/>
        <v>1387.758064516129</v>
      </c>
      <c r="AD530" s="16">
        <f t="shared" si="227"/>
        <v>14073.241935483871</v>
      </c>
    </row>
    <row r="531" spans="1:30" x14ac:dyDescent="0.2">
      <c r="A531" s="10" t="s">
        <v>652</v>
      </c>
      <c r="B531" s="11" t="e">
        <f t="shared" si="221"/>
        <v>#REF!</v>
      </c>
      <c r="C531" s="11" t="s">
        <v>345</v>
      </c>
      <c r="D531" s="11" t="s">
        <v>67</v>
      </c>
      <c r="F531" s="22">
        <v>42856</v>
      </c>
      <c r="G531" s="11">
        <v>28</v>
      </c>
      <c r="H531" s="13">
        <f t="shared" si="217"/>
        <v>4516.1290322580644</v>
      </c>
      <c r="I531" s="13">
        <f t="shared" si="253"/>
        <v>0</v>
      </c>
      <c r="J531" s="13">
        <f t="shared" si="236"/>
        <v>225.80645161290323</v>
      </c>
      <c r="L531" s="13">
        <f t="shared" si="218"/>
        <v>722.58064516129025</v>
      </c>
      <c r="N531" s="13">
        <f t="shared" si="248"/>
        <v>3567.7419354838712</v>
      </c>
      <c r="O531" s="13">
        <v>0</v>
      </c>
      <c r="Q531" s="13">
        <f t="shared" si="249"/>
        <v>9032.2580645161288</v>
      </c>
      <c r="R531" s="12">
        <f t="shared" si="250"/>
        <v>541.93548387096769</v>
      </c>
      <c r="S531" s="12">
        <f t="shared" si="222"/>
        <v>159</v>
      </c>
      <c r="T531" s="21">
        <v>0</v>
      </c>
      <c r="U531" s="13">
        <v>0</v>
      </c>
      <c r="V531" s="13">
        <f t="shared" ref="V531:V538" si="259">SUM(R531:U531)</f>
        <v>700.93548387096769</v>
      </c>
      <c r="W531" s="13">
        <f t="shared" si="241"/>
        <v>8331.322580645161</v>
      </c>
      <c r="Y531" s="13">
        <f t="shared" si="228"/>
        <v>8331.322580645161</v>
      </c>
      <c r="Z531" s="12">
        <f t="shared" si="215"/>
        <v>593.87096774193549</v>
      </c>
      <c r="AA531" s="12">
        <f t="shared" si="225"/>
        <v>430</v>
      </c>
      <c r="AB531" s="1">
        <f t="shared" si="255"/>
        <v>0</v>
      </c>
      <c r="AC531" s="16">
        <f t="shared" si="256"/>
        <v>1023.8709677419355</v>
      </c>
      <c r="AD531" s="16">
        <f t="shared" si="227"/>
        <v>10056.129032258064</v>
      </c>
    </row>
    <row r="532" spans="1:30" x14ac:dyDescent="0.2">
      <c r="A532" s="10" t="s">
        <v>653</v>
      </c>
      <c r="B532" s="11" t="e">
        <f t="shared" si="221"/>
        <v>#REF!</v>
      </c>
      <c r="C532" s="11" t="s">
        <v>346</v>
      </c>
      <c r="D532" s="11" t="s">
        <v>67</v>
      </c>
      <c r="F532" s="22">
        <v>42856</v>
      </c>
      <c r="G532" s="11">
        <v>35</v>
      </c>
      <c r="H532" s="13">
        <f t="shared" si="217"/>
        <v>5645.1612903225805</v>
      </c>
      <c r="I532" s="13">
        <f t="shared" si="253"/>
        <v>0</v>
      </c>
      <c r="J532" s="13">
        <f t="shared" si="236"/>
        <v>282.25806451612902</v>
      </c>
      <c r="L532" s="13">
        <f t="shared" si="218"/>
        <v>903.22580645161281</v>
      </c>
      <c r="N532" s="13">
        <f t="shared" si="248"/>
        <v>4459.677419354839</v>
      </c>
      <c r="O532" s="13">
        <v>0</v>
      </c>
      <c r="P532" s="13">
        <v>250</v>
      </c>
      <c r="Q532" s="13">
        <f t="shared" si="249"/>
        <v>11540.322580645161</v>
      </c>
      <c r="R532" s="12">
        <f t="shared" si="250"/>
        <v>677.41935483870964</v>
      </c>
      <c r="S532" s="12">
        <f t="shared" si="222"/>
        <v>202</v>
      </c>
      <c r="T532" s="21">
        <v>0</v>
      </c>
      <c r="U532" s="13">
        <v>0</v>
      </c>
      <c r="V532" s="13">
        <f t="shared" si="259"/>
        <v>879.41935483870964</v>
      </c>
      <c r="W532" s="13">
        <f t="shared" si="241"/>
        <v>10660.903225806451</v>
      </c>
      <c r="Y532" s="13">
        <f t="shared" si="228"/>
        <v>10660.903225806451</v>
      </c>
      <c r="Z532" s="12">
        <f t="shared" si="215"/>
        <v>742.33870967741939</v>
      </c>
      <c r="AA532" s="12">
        <f t="shared" si="225"/>
        <v>549</v>
      </c>
      <c r="AB532" s="1">
        <f t="shared" si="255"/>
        <v>0</v>
      </c>
      <c r="AC532" s="16">
        <f t="shared" si="256"/>
        <v>1291.3387096774195</v>
      </c>
      <c r="AD532" s="16">
        <f t="shared" si="227"/>
        <v>12831.66129032258</v>
      </c>
    </row>
    <row r="533" spans="1:30" x14ac:dyDescent="0.2">
      <c r="A533" s="10" t="s">
        <v>654</v>
      </c>
      <c r="B533" s="11" t="e">
        <f t="shared" si="221"/>
        <v>#REF!</v>
      </c>
      <c r="C533" s="11" t="s">
        <v>347</v>
      </c>
      <c r="D533" s="11" t="s">
        <v>67</v>
      </c>
      <c r="F533" s="22">
        <v>42856</v>
      </c>
      <c r="G533" s="11">
        <v>35</v>
      </c>
      <c r="H533" s="13">
        <f t="shared" si="217"/>
        <v>5645.1612903225805</v>
      </c>
      <c r="I533" s="13">
        <f t="shared" si="253"/>
        <v>0</v>
      </c>
      <c r="J533" s="13">
        <f t="shared" si="236"/>
        <v>282.25806451612902</v>
      </c>
      <c r="L533" s="13">
        <f t="shared" si="218"/>
        <v>903.22580645161281</v>
      </c>
      <c r="N533" s="13">
        <f t="shared" si="248"/>
        <v>4459.677419354839</v>
      </c>
      <c r="O533" s="13">
        <v>0</v>
      </c>
      <c r="P533" s="13">
        <v>250</v>
      </c>
      <c r="Q533" s="13">
        <f t="shared" si="249"/>
        <v>11540.322580645161</v>
      </c>
      <c r="R533" s="12">
        <f t="shared" si="250"/>
        <v>677.41935483870964</v>
      </c>
      <c r="S533" s="12">
        <f t="shared" si="222"/>
        <v>202</v>
      </c>
      <c r="T533" s="21">
        <v>0</v>
      </c>
      <c r="U533" s="13">
        <v>0</v>
      </c>
      <c r="V533" s="13">
        <f t="shared" si="259"/>
        <v>879.41935483870964</v>
      </c>
      <c r="W533" s="13">
        <f t="shared" si="241"/>
        <v>10660.903225806451</v>
      </c>
      <c r="Y533" s="13">
        <f t="shared" si="228"/>
        <v>10660.903225806451</v>
      </c>
      <c r="Z533" s="12">
        <f t="shared" si="215"/>
        <v>742.33870967741939</v>
      </c>
      <c r="AA533" s="12">
        <f t="shared" si="225"/>
        <v>549</v>
      </c>
      <c r="AB533" s="1">
        <f t="shared" si="255"/>
        <v>0</v>
      </c>
      <c r="AC533" s="16">
        <f t="shared" si="256"/>
        <v>1291.3387096774195</v>
      </c>
      <c r="AD533" s="16">
        <f t="shared" si="227"/>
        <v>12831.66129032258</v>
      </c>
    </row>
    <row r="534" spans="1:30" x14ac:dyDescent="0.2">
      <c r="A534" s="10" t="s">
        <v>655</v>
      </c>
      <c r="B534" s="11" t="e">
        <f t="shared" si="221"/>
        <v>#REF!</v>
      </c>
      <c r="C534" s="11" t="s">
        <v>348</v>
      </c>
      <c r="D534" s="11" t="s">
        <v>67</v>
      </c>
      <c r="F534" s="22">
        <v>42856</v>
      </c>
      <c r="G534" s="11">
        <v>37</v>
      </c>
      <c r="H534" s="13">
        <f t="shared" si="217"/>
        <v>5967.7419354838703</v>
      </c>
      <c r="I534" s="13">
        <f t="shared" si="253"/>
        <v>0</v>
      </c>
      <c r="J534" s="13">
        <f t="shared" si="236"/>
        <v>298.38709677419354</v>
      </c>
      <c r="L534" s="13">
        <f t="shared" si="218"/>
        <v>954.83870967741927</v>
      </c>
      <c r="N534" s="13">
        <f t="shared" si="248"/>
        <v>4714.5161290322585</v>
      </c>
      <c r="O534" s="13">
        <v>0</v>
      </c>
      <c r="P534" s="13">
        <v>750</v>
      </c>
      <c r="Q534" s="13">
        <f t="shared" si="249"/>
        <v>12685.483870967742</v>
      </c>
      <c r="R534" s="12">
        <f t="shared" si="250"/>
        <v>716.1290322580644</v>
      </c>
      <c r="S534" s="12">
        <f t="shared" si="222"/>
        <v>222</v>
      </c>
      <c r="T534" s="21">
        <v>0</v>
      </c>
      <c r="U534" s="13">
        <v>0</v>
      </c>
      <c r="V534" s="13">
        <f t="shared" si="259"/>
        <v>938.1290322580644</v>
      </c>
      <c r="W534" s="13">
        <f t="shared" si="241"/>
        <v>11747.354838709678</v>
      </c>
      <c r="Y534" s="13">
        <f t="shared" si="228"/>
        <v>11747.354838709678</v>
      </c>
      <c r="Z534" s="12">
        <f t="shared" si="215"/>
        <v>784.75806451612902</v>
      </c>
      <c r="AA534" s="12">
        <f t="shared" si="225"/>
        <v>603</v>
      </c>
      <c r="AB534" s="1">
        <f t="shared" si="255"/>
        <v>0</v>
      </c>
      <c r="AC534" s="16">
        <f t="shared" si="256"/>
        <v>1387.758064516129</v>
      </c>
      <c r="AD534" s="16">
        <f t="shared" si="227"/>
        <v>14073.241935483871</v>
      </c>
    </row>
    <row r="535" spans="1:30" x14ac:dyDescent="0.2">
      <c r="A535" s="10" t="s">
        <v>834</v>
      </c>
      <c r="B535" s="11" t="e">
        <f t="shared" si="221"/>
        <v>#REF!</v>
      </c>
      <c r="C535" s="11" t="s">
        <v>475</v>
      </c>
      <c r="D535" s="11" t="s">
        <v>67</v>
      </c>
      <c r="F535" s="22">
        <v>42887</v>
      </c>
      <c r="G535" s="11">
        <v>32</v>
      </c>
      <c r="H535" s="13">
        <f t="shared" si="217"/>
        <v>5161.2903225806449</v>
      </c>
      <c r="I535" s="13">
        <f t="shared" si="253"/>
        <v>0</v>
      </c>
      <c r="J535" s="13">
        <f t="shared" si="236"/>
        <v>258.06451612903226</v>
      </c>
      <c r="L535" s="13">
        <f t="shared" si="218"/>
        <v>825.80645161290317</v>
      </c>
      <c r="N535" s="13">
        <f t="shared" si="248"/>
        <v>4077.4193548387098</v>
      </c>
      <c r="O535" s="13">
        <v>0</v>
      </c>
      <c r="Q535" s="13">
        <f t="shared" si="249"/>
        <v>10322.58064516129</v>
      </c>
      <c r="R535" s="12">
        <f t="shared" si="250"/>
        <v>619.35483870967732</v>
      </c>
      <c r="S535" s="12">
        <f t="shared" si="222"/>
        <v>181</v>
      </c>
      <c r="T535" s="21">
        <v>0</v>
      </c>
      <c r="U535" s="13">
        <v>0</v>
      </c>
      <c r="V535" s="13">
        <f t="shared" si="259"/>
        <v>800.35483870967732</v>
      </c>
      <c r="W535" s="13">
        <f t="shared" si="241"/>
        <v>9522.2258064516118</v>
      </c>
      <c r="Y535" s="13">
        <f t="shared" si="228"/>
        <v>9522.2258064516118</v>
      </c>
      <c r="Z535" s="12">
        <f t="shared" si="215"/>
        <v>678.70967741935488</v>
      </c>
      <c r="AA535" s="12">
        <f t="shared" si="225"/>
        <v>491</v>
      </c>
      <c r="AB535" s="1">
        <f t="shared" si="255"/>
        <v>0</v>
      </c>
      <c r="AC535" s="16">
        <f t="shared" si="256"/>
        <v>1169.7096774193549</v>
      </c>
      <c r="AD535" s="16">
        <f t="shared" si="227"/>
        <v>11492.290322580644</v>
      </c>
    </row>
    <row r="536" spans="1:30" x14ac:dyDescent="0.2">
      <c r="A536" s="10" t="s">
        <v>835</v>
      </c>
      <c r="B536" s="11" t="e">
        <f t="shared" si="221"/>
        <v>#REF!</v>
      </c>
      <c r="C536" s="11" t="s">
        <v>476</v>
      </c>
      <c r="D536" s="11" t="s">
        <v>67</v>
      </c>
      <c r="F536" s="22">
        <v>42887</v>
      </c>
      <c r="G536" s="11">
        <v>36</v>
      </c>
      <c r="H536" s="13">
        <f t="shared" si="217"/>
        <v>5806.4516129032254</v>
      </c>
      <c r="I536" s="13">
        <f t="shared" si="253"/>
        <v>0</v>
      </c>
      <c r="J536" s="13">
        <f t="shared" si="236"/>
        <v>290.32258064516128</v>
      </c>
      <c r="L536" s="13">
        <f t="shared" si="218"/>
        <v>929.0322580645161</v>
      </c>
      <c r="N536" s="13">
        <f t="shared" si="248"/>
        <v>4587.0967741935483</v>
      </c>
      <c r="O536" s="13">
        <v>0</v>
      </c>
      <c r="P536" s="13">
        <v>500</v>
      </c>
      <c r="Q536" s="13">
        <f t="shared" si="249"/>
        <v>12112.903225806451</v>
      </c>
      <c r="R536" s="12">
        <f t="shared" si="250"/>
        <v>696.77419354838707</v>
      </c>
      <c r="S536" s="12">
        <f t="shared" si="222"/>
        <v>212</v>
      </c>
      <c r="T536" s="21">
        <v>0</v>
      </c>
      <c r="U536" s="13">
        <v>0</v>
      </c>
      <c r="V536" s="13">
        <f t="shared" si="259"/>
        <v>908.77419354838707</v>
      </c>
      <c r="W536" s="13">
        <f t="shared" si="241"/>
        <v>11204.129032258064</v>
      </c>
      <c r="Y536" s="13">
        <f t="shared" si="228"/>
        <v>11204.129032258064</v>
      </c>
      <c r="Z536" s="12">
        <f t="shared" si="215"/>
        <v>763.54838709677415</v>
      </c>
      <c r="AA536" s="12">
        <f t="shared" si="225"/>
        <v>576</v>
      </c>
      <c r="AB536" s="1">
        <f t="shared" si="255"/>
        <v>0</v>
      </c>
      <c r="AC536" s="16">
        <f t="shared" si="256"/>
        <v>1339.5483870967741</v>
      </c>
      <c r="AD536" s="16">
        <f t="shared" si="227"/>
        <v>13452.451612903225</v>
      </c>
    </row>
    <row r="537" spans="1:30" x14ac:dyDescent="0.2">
      <c r="A537" s="10" t="s">
        <v>836</v>
      </c>
      <c r="B537" s="11" t="e">
        <f t="shared" si="221"/>
        <v>#REF!</v>
      </c>
      <c r="C537" s="11" t="s">
        <v>477</v>
      </c>
      <c r="D537" s="11" t="s">
        <v>67</v>
      </c>
      <c r="F537" s="22">
        <v>42887</v>
      </c>
      <c r="G537" s="11">
        <v>37</v>
      </c>
      <c r="H537" s="13">
        <f t="shared" si="217"/>
        <v>5967.7419354838703</v>
      </c>
      <c r="I537" s="13">
        <f t="shared" si="253"/>
        <v>0</v>
      </c>
      <c r="J537" s="13">
        <f t="shared" si="236"/>
        <v>298.38709677419354</v>
      </c>
      <c r="L537" s="13">
        <f t="shared" si="218"/>
        <v>954.83870967741927</v>
      </c>
      <c r="N537" s="13">
        <f t="shared" si="248"/>
        <v>4714.5161290322585</v>
      </c>
      <c r="O537" s="13">
        <v>0</v>
      </c>
      <c r="P537" s="13">
        <v>750</v>
      </c>
      <c r="Q537" s="13">
        <f t="shared" si="249"/>
        <v>12685.483870967742</v>
      </c>
      <c r="R537" s="12">
        <f t="shared" si="250"/>
        <v>716.1290322580644</v>
      </c>
      <c r="S537" s="12">
        <f t="shared" si="222"/>
        <v>222</v>
      </c>
      <c r="T537" s="21">
        <v>0</v>
      </c>
      <c r="U537" s="13">
        <v>0</v>
      </c>
      <c r="V537" s="13">
        <f t="shared" si="259"/>
        <v>938.1290322580644</v>
      </c>
      <c r="W537" s="13">
        <f t="shared" si="241"/>
        <v>11747.354838709678</v>
      </c>
      <c r="Y537" s="13">
        <f t="shared" si="228"/>
        <v>11747.354838709678</v>
      </c>
      <c r="Z537" s="12">
        <f t="shared" si="215"/>
        <v>784.75806451612902</v>
      </c>
      <c r="AA537" s="12">
        <f t="shared" si="225"/>
        <v>603</v>
      </c>
      <c r="AB537" s="1">
        <f t="shared" si="255"/>
        <v>0</v>
      </c>
      <c r="AC537" s="16">
        <f t="shared" si="256"/>
        <v>1387.758064516129</v>
      </c>
      <c r="AD537" s="16">
        <f t="shared" si="227"/>
        <v>14073.241935483871</v>
      </c>
    </row>
    <row r="538" spans="1:30" x14ac:dyDescent="0.2">
      <c r="A538" s="10" t="s">
        <v>837</v>
      </c>
      <c r="B538" s="11" t="e">
        <f t="shared" si="221"/>
        <v>#REF!</v>
      </c>
      <c r="C538" s="11" t="s">
        <v>478</v>
      </c>
      <c r="D538" s="11" t="s">
        <v>67</v>
      </c>
      <c r="F538" s="22">
        <v>42887</v>
      </c>
      <c r="G538" s="11">
        <v>32</v>
      </c>
      <c r="H538" s="13">
        <f t="shared" si="217"/>
        <v>5161.2903225806449</v>
      </c>
      <c r="I538" s="13">
        <f t="shared" si="253"/>
        <v>0</v>
      </c>
      <c r="J538" s="13">
        <f t="shared" si="236"/>
        <v>258.06451612903226</v>
      </c>
      <c r="L538" s="13">
        <f t="shared" si="218"/>
        <v>825.80645161290317</v>
      </c>
      <c r="N538" s="13">
        <f t="shared" si="248"/>
        <v>4077.4193548387098</v>
      </c>
      <c r="O538" s="13">
        <v>0</v>
      </c>
      <c r="Q538" s="13">
        <f t="shared" si="249"/>
        <v>10322.58064516129</v>
      </c>
      <c r="R538" s="12">
        <f t="shared" si="250"/>
        <v>619.35483870967732</v>
      </c>
      <c r="S538" s="12">
        <f t="shared" si="222"/>
        <v>181</v>
      </c>
      <c r="T538" s="21">
        <v>0</v>
      </c>
      <c r="U538" s="13">
        <v>0</v>
      </c>
      <c r="V538" s="13">
        <f t="shared" si="259"/>
        <v>800.35483870967732</v>
      </c>
      <c r="W538" s="13">
        <f t="shared" si="241"/>
        <v>9522.2258064516118</v>
      </c>
      <c r="Y538" s="13">
        <f t="shared" si="228"/>
        <v>9522.2258064516118</v>
      </c>
      <c r="Z538" s="12">
        <f t="shared" si="215"/>
        <v>678.70967741935488</v>
      </c>
      <c r="AA538" s="12">
        <f t="shared" si="225"/>
        <v>491</v>
      </c>
      <c r="AB538" s="1">
        <f t="shared" si="255"/>
        <v>0</v>
      </c>
      <c r="AC538" s="16">
        <f t="shared" si="256"/>
        <v>1169.7096774193549</v>
      </c>
      <c r="AD538" s="16">
        <f t="shared" si="227"/>
        <v>11492.290322580644</v>
      </c>
    </row>
    <row r="539" spans="1:30" x14ac:dyDescent="0.2">
      <c r="A539" s="10" t="s">
        <v>667</v>
      </c>
      <c r="B539" s="11" t="e">
        <f t="shared" si="221"/>
        <v>#REF!</v>
      </c>
      <c r="C539" s="11" t="s">
        <v>668</v>
      </c>
      <c r="D539" s="11" t="s">
        <v>67</v>
      </c>
      <c r="E539" s="11" t="s">
        <v>232</v>
      </c>
      <c r="F539" s="22">
        <v>42826</v>
      </c>
      <c r="G539" s="11">
        <v>36</v>
      </c>
      <c r="H539" s="13">
        <f t="shared" si="217"/>
        <v>5806.4516129032254</v>
      </c>
      <c r="I539" s="13">
        <f t="shared" si="253"/>
        <v>0</v>
      </c>
      <c r="J539" s="13">
        <f t="shared" si="236"/>
        <v>290.32258064516128</v>
      </c>
      <c r="L539" s="13">
        <f t="shared" si="218"/>
        <v>929.0322580645161</v>
      </c>
      <c r="N539" s="13">
        <f>((9014)/G$3)*G539</f>
        <v>10467.870967741936</v>
      </c>
      <c r="O539" s="13">
        <v>0</v>
      </c>
      <c r="Q539" s="13">
        <f t="shared" si="249"/>
        <v>17493.677419354837</v>
      </c>
      <c r="R539" s="12">
        <f t="shared" si="250"/>
        <v>696.77419354838707</v>
      </c>
      <c r="S539" s="12">
        <f t="shared" si="222"/>
        <v>307</v>
      </c>
      <c r="T539" s="21">
        <f t="shared" ref="T539" si="260">+IF(Q539&lt;2501,0,IF((Q539&gt;2501)*(Q539&lt;3500),0,IF((Q539&gt;3501)*(Q539&lt;7500),0,IF((Q539&gt;7501)*(Q539&lt;10000),175,200))))</f>
        <v>200</v>
      </c>
      <c r="U539" s="13">
        <v>0</v>
      </c>
      <c r="V539" s="13">
        <f t="shared" ref="V539:V543" si="261">SUM(R539:U539)</f>
        <v>1203.7741935483871</v>
      </c>
      <c r="W539" s="13">
        <f t="shared" si="241"/>
        <v>16289.903225806451</v>
      </c>
      <c r="Y539" s="13">
        <f t="shared" si="228"/>
        <v>16289.903225806451</v>
      </c>
      <c r="Z539" s="12">
        <f t="shared" si="215"/>
        <v>763.54838709677415</v>
      </c>
      <c r="AA539" s="12">
        <f t="shared" si="225"/>
        <v>831</v>
      </c>
      <c r="AB539" s="1">
        <f t="shared" si="255"/>
        <v>0</v>
      </c>
      <c r="AC539" s="16">
        <f t="shared" ref="AC539:AC543" si="262">SUM(Z539:AB539)</f>
        <v>1594.5483870967741</v>
      </c>
      <c r="AD539" s="16">
        <f t="shared" si="227"/>
        <v>19088.22580645161</v>
      </c>
    </row>
    <row r="540" spans="1:30" x14ac:dyDescent="0.2">
      <c r="A540" s="10" t="s">
        <v>912</v>
      </c>
      <c r="B540" s="11" t="e">
        <f t="shared" si="221"/>
        <v>#REF!</v>
      </c>
      <c r="C540" s="11" t="s">
        <v>698</v>
      </c>
      <c r="D540" s="11" t="s">
        <v>67</v>
      </c>
      <c r="F540" s="22">
        <v>42919</v>
      </c>
      <c r="G540" s="11">
        <v>11</v>
      </c>
      <c r="H540" s="13">
        <f t="shared" si="217"/>
        <v>1774.1935483870966</v>
      </c>
      <c r="I540" s="13">
        <f t="shared" si="253"/>
        <v>0</v>
      </c>
      <c r="J540" s="13">
        <f t="shared" si="236"/>
        <v>88.709677419354833</v>
      </c>
      <c r="L540" s="13">
        <f t="shared" si="218"/>
        <v>283.87096774193549</v>
      </c>
      <c r="N540" s="13">
        <f>((1950+2000)/G$3)*G540</f>
        <v>1401.6129032258066</v>
      </c>
      <c r="O540" s="13">
        <v>0</v>
      </c>
      <c r="Q540" s="13">
        <f t="shared" si="249"/>
        <v>3548.3870967741932</v>
      </c>
      <c r="R540" s="12">
        <f t="shared" si="250"/>
        <v>212.90322580645159</v>
      </c>
      <c r="S540" s="12">
        <f t="shared" si="222"/>
        <v>63</v>
      </c>
      <c r="T540" s="21">
        <v>0</v>
      </c>
      <c r="U540" s="13">
        <v>0</v>
      </c>
      <c r="V540" s="13">
        <f t="shared" si="261"/>
        <v>275.90322580645159</v>
      </c>
      <c r="W540" s="13">
        <f t="shared" si="241"/>
        <v>3272.4838709677415</v>
      </c>
      <c r="Y540" s="13">
        <f t="shared" si="228"/>
        <v>3272.4838709677415</v>
      </c>
      <c r="Z540" s="12">
        <f t="shared" si="215"/>
        <v>233.3064516129032</v>
      </c>
      <c r="AA540" s="12">
        <f t="shared" si="225"/>
        <v>169</v>
      </c>
      <c r="AB540" s="1">
        <f t="shared" si="255"/>
        <v>0</v>
      </c>
      <c r="AC540" s="16">
        <f t="shared" si="262"/>
        <v>402.30645161290317</v>
      </c>
      <c r="AD540" s="16">
        <f t="shared" si="227"/>
        <v>3950.6935483870966</v>
      </c>
    </row>
    <row r="541" spans="1:30" x14ac:dyDescent="0.2">
      <c r="A541" s="10" t="s">
        <v>914</v>
      </c>
      <c r="B541" s="11" t="e">
        <f t="shared" si="221"/>
        <v>#REF!</v>
      </c>
      <c r="C541" s="11" t="s">
        <v>688</v>
      </c>
      <c r="D541" s="11" t="s">
        <v>67</v>
      </c>
      <c r="F541" s="22">
        <v>42919</v>
      </c>
      <c r="G541" s="11">
        <v>11</v>
      </c>
      <c r="H541" s="13">
        <f t="shared" si="217"/>
        <v>1774.1935483870966</v>
      </c>
      <c r="I541" s="13">
        <f t="shared" si="253"/>
        <v>0</v>
      </c>
      <c r="J541" s="13">
        <f t="shared" si="236"/>
        <v>88.709677419354833</v>
      </c>
      <c r="L541" s="13">
        <f t="shared" si="218"/>
        <v>283.87096774193549</v>
      </c>
      <c r="N541" s="13">
        <f>((1950+2000)/G$3)*G541</f>
        <v>1401.6129032258066</v>
      </c>
      <c r="O541" s="13">
        <v>0</v>
      </c>
      <c r="Q541" s="13">
        <f t="shared" si="249"/>
        <v>3548.3870967741932</v>
      </c>
      <c r="R541" s="12">
        <f t="shared" si="250"/>
        <v>212.90322580645159</v>
      </c>
      <c r="S541" s="12">
        <f t="shared" si="222"/>
        <v>63</v>
      </c>
      <c r="T541" s="21">
        <v>0</v>
      </c>
      <c r="U541" s="13">
        <v>0</v>
      </c>
      <c r="V541" s="13">
        <f t="shared" si="261"/>
        <v>275.90322580645159</v>
      </c>
      <c r="W541" s="13">
        <f t="shared" si="241"/>
        <v>3272.4838709677415</v>
      </c>
      <c r="Y541" s="13">
        <f t="shared" si="228"/>
        <v>3272.4838709677415</v>
      </c>
      <c r="Z541" s="12">
        <f t="shared" si="215"/>
        <v>233.3064516129032</v>
      </c>
      <c r="AA541" s="12">
        <f t="shared" si="225"/>
        <v>169</v>
      </c>
      <c r="AB541" s="1">
        <f t="shared" si="255"/>
        <v>0</v>
      </c>
      <c r="AC541" s="16">
        <f t="shared" si="262"/>
        <v>402.30645161290317</v>
      </c>
      <c r="AD541" s="16">
        <f t="shared" si="227"/>
        <v>3950.6935483870966</v>
      </c>
    </row>
    <row r="542" spans="1:30" x14ac:dyDescent="0.2">
      <c r="A542" s="10" t="s">
        <v>916</v>
      </c>
      <c r="B542" s="11" t="e">
        <f t="shared" si="221"/>
        <v>#REF!</v>
      </c>
      <c r="C542" s="11" t="s">
        <v>689</v>
      </c>
      <c r="D542" s="11" t="s">
        <v>67</v>
      </c>
      <c r="F542" s="22">
        <v>42921</v>
      </c>
      <c r="G542" s="11">
        <v>35</v>
      </c>
      <c r="H542" s="13">
        <f t="shared" si="217"/>
        <v>5645.1612903225805</v>
      </c>
      <c r="I542" s="13">
        <f t="shared" si="253"/>
        <v>0</v>
      </c>
      <c r="J542" s="13">
        <f t="shared" si="236"/>
        <v>282.25806451612902</v>
      </c>
      <c r="L542" s="13">
        <f t="shared" si="218"/>
        <v>903.22580645161281</v>
      </c>
      <c r="N542" s="13">
        <f>((1950+2000)/G$3)*G542</f>
        <v>4459.677419354839</v>
      </c>
      <c r="O542" s="13">
        <v>0</v>
      </c>
      <c r="P542" s="13">
        <v>500</v>
      </c>
      <c r="Q542" s="13">
        <f t="shared" si="249"/>
        <v>11790.322580645161</v>
      </c>
      <c r="R542" s="12">
        <f t="shared" si="250"/>
        <v>677.41935483870964</v>
      </c>
      <c r="S542" s="12">
        <f t="shared" si="222"/>
        <v>207</v>
      </c>
      <c r="T542" s="21">
        <v>0</v>
      </c>
      <c r="U542" s="13">
        <v>0</v>
      </c>
      <c r="V542" s="13">
        <f t="shared" si="261"/>
        <v>884.41935483870964</v>
      </c>
      <c r="W542" s="13">
        <f t="shared" si="241"/>
        <v>10905.903225806451</v>
      </c>
      <c r="Y542" s="13">
        <f t="shared" si="228"/>
        <v>10905.903225806451</v>
      </c>
      <c r="Z542" s="12">
        <f t="shared" si="215"/>
        <v>742.33870967741939</v>
      </c>
      <c r="AA542" s="12">
        <f t="shared" si="225"/>
        <v>561</v>
      </c>
      <c r="AB542" s="1">
        <f t="shared" si="255"/>
        <v>0</v>
      </c>
      <c r="AC542" s="16">
        <f t="shared" si="262"/>
        <v>1303.3387096774195</v>
      </c>
      <c r="AD542" s="16">
        <f t="shared" si="227"/>
        <v>13093.66129032258</v>
      </c>
    </row>
    <row r="543" spans="1:30" x14ac:dyDescent="0.2">
      <c r="A543" s="10" t="s">
        <v>920</v>
      </c>
      <c r="B543" s="11" t="e">
        <f t="shared" si="221"/>
        <v>#REF!</v>
      </c>
      <c r="C543" s="11" t="s">
        <v>693</v>
      </c>
      <c r="D543" s="11" t="s">
        <v>67</v>
      </c>
      <c r="F543" s="22">
        <v>42923</v>
      </c>
      <c r="G543" s="11">
        <v>35</v>
      </c>
      <c r="H543" s="13">
        <f t="shared" si="217"/>
        <v>5645.1612903225805</v>
      </c>
      <c r="I543" s="13">
        <f t="shared" si="253"/>
        <v>0</v>
      </c>
      <c r="J543" s="13">
        <f t="shared" si="236"/>
        <v>282.25806451612902</v>
      </c>
      <c r="L543" s="13">
        <f t="shared" si="218"/>
        <v>903.22580645161281</v>
      </c>
      <c r="N543" s="13">
        <f>((1950+2000)/G$3)*G543</f>
        <v>4459.677419354839</v>
      </c>
      <c r="O543" s="13">
        <v>0</v>
      </c>
      <c r="P543" s="13">
        <v>250</v>
      </c>
      <c r="Q543" s="13">
        <f t="shared" si="249"/>
        <v>11540.322580645161</v>
      </c>
      <c r="R543" s="12">
        <f t="shared" si="250"/>
        <v>677.41935483870964</v>
      </c>
      <c r="S543" s="12">
        <f t="shared" si="222"/>
        <v>202</v>
      </c>
      <c r="T543" s="21">
        <v>0</v>
      </c>
      <c r="U543" s="13">
        <v>0</v>
      </c>
      <c r="V543" s="13">
        <f t="shared" si="261"/>
        <v>879.41935483870964</v>
      </c>
      <c r="W543" s="13">
        <f t="shared" si="241"/>
        <v>10660.903225806451</v>
      </c>
      <c r="Y543" s="13">
        <f t="shared" si="228"/>
        <v>10660.903225806451</v>
      </c>
      <c r="Z543" s="12">
        <f t="shared" si="215"/>
        <v>742.33870967741939</v>
      </c>
      <c r="AA543" s="12">
        <f t="shared" si="225"/>
        <v>549</v>
      </c>
      <c r="AB543" s="1">
        <f t="shared" si="255"/>
        <v>0</v>
      </c>
      <c r="AC543" s="16">
        <f t="shared" si="262"/>
        <v>1291.3387096774195</v>
      </c>
      <c r="AD543" s="16">
        <f t="shared" si="227"/>
        <v>12831.66129032258</v>
      </c>
    </row>
    <row r="544" spans="1:30" x14ac:dyDescent="0.2">
      <c r="A544" s="10" t="s">
        <v>922</v>
      </c>
      <c r="B544" s="11" t="e">
        <f t="shared" si="221"/>
        <v>#REF!</v>
      </c>
      <c r="C544" s="11" t="s">
        <v>695</v>
      </c>
      <c r="D544" s="11" t="s">
        <v>67</v>
      </c>
      <c r="F544" s="22">
        <v>42937</v>
      </c>
      <c r="G544" s="11">
        <v>35</v>
      </c>
      <c r="H544" s="13">
        <f t="shared" si="217"/>
        <v>5645.1612903225805</v>
      </c>
      <c r="I544" s="13">
        <f t="shared" si="253"/>
        <v>0</v>
      </c>
      <c r="J544" s="13">
        <f t="shared" si="236"/>
        <v>282.25806451612902</v>
      </c>
      <c r="L544" s="13">
        <f t="shared" si="218"/>
        <v>903.22580645161281</v>
      </c>
      <c r="N544" s="13">
        <f>((1950+2000+3537)/G$3)*G544</f>
        <v>8453.0645161290322</v>
      </c>
      <c r="O544" s="13">
        <v>0</v>
      </c>
      <c r="Q544" s="13">
        <f t="shared" si="249"/>
        <v>15283.709677419354</v>
      </c>
      <c r="R544" s="12">
        <f t="shared" si="250"/>
        <v>677.41935483870964</v>
      </c>
      <c r="S544" s="12">
        <f t="shared" si="222"/>
        <v>268</v>
      </c>
      <c r="T544" s="21">
        <v>0</v>
      </c>
      <c r="U544" s="13">
        <v>0</v>
      </c>
      <c r="V544" s="13">
        <f t="shared" ref="V544:V574" si="263">SUM(R544:U544)</f>
        <v>945.41935483870964</v>
      </c>
      <c r="W544" s="13">
        <f t="shared" si="241"/>
        <v>14338.290322580644</v>
      </c>
      <c r="Y544" s="13">
        <f t="shared" si="228"/>
        <v>14338.290322580644</v>
      </c>
      <c r="Z544" s="12">
        <f t="shared" si="215"/>
        <v>742.33870967741939</v>
      </c>
      <c r="AA544" s="12">
        <f t="shared" si="225"/>
        <v>726</v>
      </c>
      <c r="AB544" s="1">
        <f t="shared" si="255"/>
        <v>0</v>
      </c>
      <c r="AC544" s="16">
        <f t="shared" ref="AC544:AC552" si="264">SUM(Z544:AB544)</f>
        <v>1468.3387096774195</v>
      </c>
      <c r="AD544" s="16">
        <f t="shared" si="227"/>
        <v>16752.048387096773</v>
      </c>
    </row>
    <row r="545" spans="1:30" x14ac:dyDescent="0.2">
      <c r="A545" s="10" t="s">
        <v>923</v>
      </c>
      <c r="B545" s="11" t="e">
        <f t="shared" si="221"/>
        <v>#REF!</v>
      </c>
      <c r="C545" s="11" t="s">
        <v>696</v>
      </c>
      <c r="D545" s="11" t="s">
        <v>67</v>
      </c>
      <c r="F545" s="22">
        <v>42935</v>
      </c>
      <c r="G545" s="11">
        <v>29</v>
      </c>
      <c r="H545" s="13">
        <f t="shared" si="217"/>
        <v>4677.4193548387093</v>
      </c>
      <c r="I545" s="13">
        <f t="shared" si="253"/>
        <v>0</v>
      </c>
      <c r="J545" s="13">
        <f t="shared" si="236"/>
        <v>233.87096774193549</v>
      </c>
      <c r="L545" s="13">
        <f t="shared" si="218"/>
        <v>748.38709677419354</v>
      </c>
      <c r="N545" s="13">
        <f>((1950+2000+3537)/G$3)*G545</f>
        <v>7003.9677419354839</v>
      </c>
      <c r="O545" s="13">
        <v>0</v>
      </c>
      <c r="Q545" s="13">
        <f t="shared" si="249"/>
        <v>12663.645161290322</v>
      </c>
      <c r="R545" s="12">
        <f t="shared" si="250"/>
        <v>561.29032258064512</v>
      </c>
      <c r="S545" s="12">
        <f t="shared" si="222"/>
        <v>222</v>
      </c>
      <c r="T545" s="21">
        <v>0</v>
      </c>
      <c r="U545" s="13">
        <v>0</v>
      </c>
      <c r="V545" s="13">
        <f t="shared" si="263"/>
        <v>783.29032258064512</v>
      </c>
      <c r="W545" s="13">
        <f t="shared" si="241"/>
        <v>11880.354838709676</v>
      </c>
      <c r="Y545" s="13">
        <f t="shared" si="228"/>
        <v>11880.354838709676</v>
      </c>
      <c r="Z545" s="12">
        <f t="shared" si="215"/>
        <v>615.08064516129025</v>
      </c>
      <c r="AA545" s="12">
        <f t="shared" si="225"/>
        <v>602</v>
      </c>
      <c r="AB545" s="1">
        <f t="shared" si="255"/>
        <v>0</v>
      </c>
      <c r="AC545" s="16">
        <f t="shared" si="264"/>
        <v>1217.0806451612902</v>
      </c>
      <c r="AD545" s="16">
        <f t="shared" si="227"/>
        <v>13880.725806451612</v>
      </c>
    </row>
    <row r="546" spans="1:30" x14ac:dyDescent="0.2">
      <c r="A546" s="10" t="s">
        <v>924</v>
      </c>
      <c r="B546" s="11" t="e">
        <f t="shared" si="221"/>
        <v>#REF!</v>
      </c>
      <c r="C546" s="11" t="s">
        <v>697</v>
      </c>
      <c r="D546" s="11" t="s">
        <v>67</v>
      </c>
      <c r="F546" s="22">
        <v>42936</v>
      </c>
      <c r="G546" s="11">
        <v>32</v>
      </c>
      <c r="H546" s="13">
        <f t="shared" si="217"/>
        <v>5161.2903225806449</v>
      </c>
      <c r="I546" s="13">
        <f t="shared" si="253"/>
        <v>0</v>
      </c>
      <c r="J546" s="13">
        <f t="shared" si="236"/>
        <v>258.06451612903226</v>
      </c>
      <c r="L546" s="13">
        <f t="shared" si="218"/>
        <v>825.80645161290317</v>
      </c>
      <c r="N546" s="13">
        <f>((1950+2000+3537)/G$3)*G546</f>
        <v>7728.5161290322585</v>
      </c>
      <c r="O546" s="13">
        <v>0</v>
      </c>
      <c r="Q546" s="13">
        <f t="shared" si="249"/>
        <v>13973.677419354839</v>
      </c>
      <c r="R546" s="12">
        <f t="shared" si="250"/>
        <v>619.35483870967732</v>
      </c>
      <c r="S546" s="12">
        <f t="shared" si="222"/>
        <v>245</v>
      </c>
      <c r="T546" s="21">
        <v>0</v>
      </c>
      <c r="U546" s="13">
        <v>0</v>
      </c>
      <c r="V546" s="13">
        <f t="shared" si="263"/>
        <v>864.35483870967732</v>
      </c>
      <c r="W546" s="13">
        <f t="shared" si="241"/>
        <v>13109.322580645161</v>
      </c>
      <c r="Y546" s="13">
        <f t="shared" si="228"/>
        <v>13109.322580645161</v>
      </c>
      <c r="Z546" s="12">
        <f t="shared" si="215"/>
        <v>678.70967741935488</v>
      </c>
      <c r="AA546" s="12">
        <f t="shared" si="225"/>
        <v>664</v>
      </c>
      <c r="AB546" s="1">
        <f t="shared" si="255"/>
        <v>0</v>
      </c>
      <c r="AC546" s="16">
        <f t="shared" si="264"/>
        <v>1342.7096774193549</v>
      </c>
      <c r="AD546" s="16">
        <f t="shared" si="227"/>
        <v>15316.387096774193</v>
      </c>
    </row>
    <row r="547" spans="1:30" x14ac:dyDescent="0.2">
      <c r="A547" s="10" t="s">
        <v>1129</v>
      </c>
      <c r="B547" s="11" t="e">
        <f t="shared" si="221"/>
        <v>#REF!</v>
      </c>
      <c r="C547" s="11" t="s">
        <v>929</v>
      </c>
      <c r="D547" s="11" t="s">
        <v>67</v>
      </c>
      <c r="F547" s="22">
        <v>42948</v>
      </c>
      <c r="G547" s="11">
        <v>8</v>
      </c>
      <c r="H547" s="13">
        <f t="shared" si="217"/>
        <v>1290.3225806451612</v>
      </c>
      <c r="I547" s="13">
        <f t="shared" si="253"/>
        <v>0</v>
      </c>
      <c r="J547" s="13">
        <f t="shared" si="236"/>
        <v>64.516129032258064</v>
      </c>
      <c r="L547" s="13">
        <f t="shared" si="218"/>
        <v>206.45161290322579</v>
      </c>
      <c r="N547" s="13">
        <f t="shared" ref="N547:N552" si="265">((1950+2000)/G$3)*G547</f>
        <v>1019.3548387096774</v>
      </c>
      <c r="O547" s="13">
        <v>0</v>
      </c>
      <c r="Q547" s="13">
        <f t="shared" si="249"/>
        <v>2580.6451612903224</v>
      </c>
      <c r="R547" s="12">
        <f t="shared" si="250"/>
        <v>154.83870967741933</v>
      </c>
      <c r="S547" s="12">
        <f t="shared" si="222"/>
        <v>46</v>
      </c>
      <c r="T547" s="21">
        <v>0</v>
      </c>
      <c r="U547" s="13">
        <v>0</v>
      </c>
      <c r="V547" s="13">
        <f t="shared" si="263"/>
        <v>200.83870967741933</v>
      </c>
      <c r="W547" s="13">
        <f t="shared" si="241"/>
        <v>2379.8064516129029</v>
      </c>
      <c r="Y547" s="13">
        <f t="shared" si="228"/>
        <v>2379.8064516129029</v>
      </c>
      <c r="Z547" s="12">
        <f t="shared" si="215"/>
        <v>169.67741935483872</v>
      </c>
      <c r="AA547" s="12">
        <f t="shared" si="225"/>
        <v>123</v>
      </c>
      <c r="AB547" s="1">
        <f t="shared" si="255"/>
        <v>0</v>
      </c>
      <c r="AC547" s="16">
        <f t="shared" si="264"/>
        <v>292.67741935483872</v>
      </c>
      <c r="AD547" s="16">
        <f t="shared" si="227"/>
        <v>2873.322580645161</v>
      </c>
    </row>
    <row r="548" spans="1:30" s="17" customFormat="1" x14ac:dyDescent="0.2">
      <c r="A548" s="10" t="s">
        <v>1130</v>
      </c>
      <c r="B548" s="11" t="e">
        <f t="shared" si="221"/>
        <v>#REF!</v>
      </c>
      <c r="C548" s="11" t="s">
        <v>930</v>
      </c>
      <c r="D548" s="11" t="s">
        <v>67</v>
      </c>
      <c r="E548" s="11"/>
      <c r="F548" s="22">
        <v>42961</v>
      </c>
      <c r="G548" s="11">
        <v>35</v>
      </c>
      <c r="H548" s="13">
        <f t="shared" si="217"/>
        <v>5645.1612903225805</v>
      </c>
      <c r="I548" s="13">
        <f t="shared" si="253"/>
        <v>0</v>
      </c>
      <c r="J548" s="13">
        <f t="shared" si="236"/>
        <v>282.25806451612902</v>
      </c>
      <c r="K548" s="13"/>
      <c r="L548" s="13">
        <f t="shared" si="218"/>
        <v>903.22580645161281</v>
      </c>
      <c r="M548" s="13"/>
      <c r="N548" s="13">
        <f t="shared" si="265"/>
        <v>4459.677419354839</v>
      </c>
      <c r="O548" s="13">
        <v>0</v>
      </c>
      <c r="P548" s="13">
        <v>250</v>
      </c>
      <c r="Q548" s="13">
        <f t="shared" si="249"/>
        <v>11540.322580645161</v>
      </c>
      <c r="R548" s="12">
        <f t="shared" si="250"/>
        <v>677.41935483870964</v>
      </c>
      <c r="S548" s="12">
        <f t="shared" si="222"/>
        <v>202</v>
      </c>
      <c r="T548" s="21">
        <v>0</v>
      </c>
      <c r="U548" s="13">
        <v>0</v>
      </c>
      <c r="V548" s="13">
        <f t="shared" si="263"/>
        <v>879.41935483870964</v>
      </c>
      <c r="W548" s="13">
        <f t="shared" si="241"/>
        <v>10660.903225806451</v>
      </c>
      <c r="X548" s="13"/>
      <c r="Y548" s="13">
        <f t="shared" si="228"/>
        <v>10660.903225806451</v>
      </c>
      <c r="Z548" s="12">
        <f t="shared" si="215"/>
        <v>742.33870967741939</v>
      </c>
      <c r="AA548" s="12">
        <f t="shared" si="225"/>
        <v>549</v>
      </c>
      <c r="AB548" s="1">
        <f t="shared" si="255"/>
        <v>0</v>
      </c>
      <c r="AC548" s="16">
        <f t="shared" si="264"/>
        <v>1291.3387096774195</v>
      </c>
      <c r="AD548" s="16">
        <f t="shared" si="227"/>
        <v>12831.66129032258</v>
      </c>
    </row>
    <row r="549" spans="1:30" x14ac:dyDescent="0.2">
      <c r="A549" s="10" t="s">
        <v>1131</v>
      </c>
      <c r="B549" s="11" t="e">
        <f t="shared" si="221"/>
        <v>#REF!</v>
      </c>
      <c r="C549" s="11" t="s">
        <v>931</v>
      </c>
      <c r="D549" s="11" t="s">
        <v>67</v>
      </c>
      <c r="F549" s="50">
        <v>43047</v>
      </c>
      <c r="G549" s="11">
        <v>28</v>
      </c>
      <c r="H549" s="13">
        <f t="shared" si="217"/>
        <v>4516.1290322580644</v>
      </c>
      <c r="I549" s="13">
        <f t="shared" si="253"/>
        <v>0</v>
      </c>
      <c r="J549" s="13">
        <f t="shared" si="236"/>
        <v>225.80645161290323</v>
      </c>
      <c r="L549" s="13">
        <f t="shared" si="218"/>
        <v>722.58064516129025</v>
      </c>
      <c r="N549" s="13">
        <f t="shared" si="265"/>
        <v>3567.7419354838712</v>
      </c>
      <c r="O549" s="13">
        <v>0</v>
      </c>
      <c r="Q549" s="13">
        <f t="shared" si="249"/>
        <v>9032.2580645161288</v>
      </c>
      <c r="R549" s="12">
        <f t="shared" si="250"/>
        <v>541.93548387096769</v>
      </c>
      <c r="S549" s="12">
        <f t="shared" si="222"/>
        <v>159</v>
      </c>
      <c r="T549" s="21">
        <v>0</v>
      </c>
      <c r="U549" s="13">
        <v>0</v>
      </c>
      <c r="V549" s="13">
        <f t="shared" si="263"/>
        <v>700.93548387096769</v>
      </c>
      <c r="W549" s="13">
        <f t="shared" si="241"/>
        <v>8331.322580645161</v>
      </c>
      <c r="Y549" s="13">
        <f t="shared" si="228"/>
        <v>8331.322580645161</v>
      </c>
      <c r="Z549" s="12">
        <f t="shared" ref="Z549:Z574" si="266">(H549+I549)*13.15%</f>
        <v>593.87096774193549</v>
      </c>
      <c r="AA549" s="12">
        <f t="shared" si="225"/>
        <v>430</v>
      </c>
      <c r="AB549" s="1">
        <f t="shared" si="255"/>
        <v>0</v>
      </c>
      <c r="AC549" s="16">
        <f t="shared" si="264"/>
        <v>1023.8709677419355</v>
      </c>
      <c r="AD549" s="16">
        <f t="shared" si="227"/>
        <v>10056.129032258064</v>
      </c>
    </row>
    <row r="550" spans="1:30" x14ac:dyDescent="0.2">
      <c r="A550" s="10" t="s">
        <v>1132</v>
      </c>
      <c r="B550" s="11" t="e">
        <f t="shared" si="221"/>
        <v>#REF!</v>
      </c>
      <c r="C550" s="11" t="s">
        <v>932</v>
      </c>
      <c r="D550" s="11" t="s">
        <v>67</v>
      </c>
      <c r="F550" s="50">
        <v>43077</v>
      </c>
      <c r="G550" s="11">
        <v>36</v>
      </c>
      <c r="H550" s="13">
        <f t="shared" si="217"/>
        <v>5806.4516129032254</v>
      </c>
      <c r="I550" s="13">
        <f t="shared" si="253"/>
        <v>0</v>
      </c>
      <c r="J550" s="13">
        <f t="shared" si="236"/>
        <v>290.32258064516128</v>
      </c>
      <c r="L550" s="13">
        <f t="shared" si="218"/>
        <v>929.0322580645161</v>
      </c>
      <c r="N550" s="13">
        <f t="shared" si="265"/>
        <v>4587.0967741935483</v>
      </c>
      <c r="O550" s="13">
        <v>0</v>
      </c>
      <c r="P550" s="13">
        <v>500</v>
      </c>
      <c r="Q550" s="13">
        <f t="shared" si="249"/>
        <v>12112.903225806451</v>
      </c>
      <c r="R550" s="12">
        <f t="shared" si="250"/>
        <v>696.77419354838707</v>
      </c>
      <c r="S550" s="12">
        <f t="shared" si="222"/>
        <v>212</v>
      </c>
      <c r="T550" s="21">
        <v>0</v>
      </c>
      <c r="U550" s="13">
        <v>0</v>
      </c>
      <c r="V550" s="13">
        <f t="shared" si="263"/>
        <v>908.77419354838707</v>
      </c>
      <c r="W550" s="13">
        <f t="shared" si="241"/>
        <v>11204.129032258064</v>
      </c>
      <c r="Y550" s="13">
        <f t="shared" si="228"/>
        <v>11204.129032258064</v>
      </c>
      <c r="Z550" s="12">
        <f t="shared" si="266"/>
        <v>763.54838709677415</v>
      </c>
      <c r="AA550" s="12">
        <f t="shared" si="225"/>
        <v>576</v>
      </c>
      <c r="AB550" s="1">
        <f t="shared" si="255"/>
        <v>0</v>
      </c>
      <c r="AC550" s="16">
        <f t="shared" si="264"/>
        <v>1339.5483870967741</v>
      </c>
      <c r="AD550" s="16">
        <f t="shared" si="227"/>
        <v>13452.451612903225</v>
      </c>
    </row>
    <row r="551" spans="1:30" x14ac:dyDescent="0.2">
      <c r="A551" s="10" t="s">
        <v>1133</v>
      </c>
      <c r="B551" s="11" t="e">
        <f t="shared" si="221"/>
        <v>#REF!</v>
      </c>
      <c r="C551" s="11" t="s">
        <v>938</v>
      </c>
      <c r="D551" s="11" t="s">
        <v>67</v>
      </c>
      <c r="F551" s="22">
        <v>42964</v>
      </c>
      <c r="G551" s="11">
        <v>8</v>
      </c>
      <c r="H551" s="13">
        <f t="shared" si="217"/>
        <v>1290.3225806451612</v>
      </c>
      <c r="I551" s="13">
        <f t="shared" si="253"/>
        <v>0</v>
      </c>
      <c r="J551" s="13">
        <f t="shared" si="236"/>
        <v>64.516129032258064</v>
      </c>
      <c r="L551" s="13">
        <f t="shared" si="218"/>
        <v>206.45161290322579</v>
      </c>
      <c r="N551" s="13">
        <f t="shared" si="265"/>
        <v>1019.3548387096774</v>
      </c>
      <c r="O551" s="13">
        <v>0</v>
      </c>
      <c r="Q551" s="13">
        <f t="shared" si="249"/>
        <v>2580.6451612903224</v>
      </c>
      <c r="R551" s="12">
        <f t="shared" si="250"/>
        <v>154.83870967741933</v>
      </c>
      <c r="S551" s="12">
        <f t="shared" si="222"/>
        <v>46</v>
      </c>
      <c r="T551" s="21">
        <v>0</v>
      </c>
      <c r="U551" s="13">
        <v>0</v>
      </c>
      <c r="V551" s="13">
        <f t="shared" si="263"/>
        <v>200.83870967741933</v>
      </c>
      <c r="W551" s="13">
        <f t="shared" si="241"/>
        <v>2379.8064516129029</v>
      </c>
      <c r="Y551" s="13">
        <f t="shared" si="228"/>
        <v>2379.8064516129029</v>
      </c>
      <c r="Z551" s="12">
        <f t="shared" si="266"/>
        <v>169.67741935483872</v>
      </c>
      <c r="AA551" s="12">
        <f t="shared" si="225"/>
        <v>123</v>
      </c>
      <c r="AB551" s="1">
        <f t="shared" si="255"/>
        <v>0</v>
      </c>
      <c r="AC551" s="16">
        <f t="shared" si="264"/>
        <v>292.67741935483872</v>
      </c>
      <c r="AD551" s="16">
        <f t="shared" si="227"/>
        <v>2873.322580645161</v>
      </c>
    </row>
    <row r="552" spans="1:30" x14ac:dyDescent="0.2">
      <c r="A552" s="10" t="s">
        <v>1134</v>
      </c>
      <c r="B552" s="11" t="e">
        <f t="shared" si="221"/>
        <v>#REF!</v>
      </c>
      <c r="C552" s="11" t="s">
        <v>940</v>
      </c>
      <c r="D552" s="11" t="s">
        <v>67</v>
      </c>
      <c r="F552" s="22">
        <v>42968</v>
      </c>
      <c r="G552" s="11">
        <v>8</v>
      </c>
      <c r="H552" s="13">
        <f t="shared" si="217"/>
        <v>1290.3225806451612</v>
      </c>
      <c r="I552" s="13">
        <f t="shared" si="253"/>
        <v>0</v>
      </c>
      <c r="J552" s="13">
        <f t="shared" si="236"/>
        <v>64.516129032258064</v>
      </c>
      <c r="L552" s="13">
        <f t="shared" si="218"/>
        <v>206.45161290322579</v>
      </c>
      <c r="N552" s="13">
        <f t="shared" si="265"/>
        <v>1019.3548387096774</v>
      </c>
      <c r="O552" s="13">
        <v>0</v>
      </c>
      <c r="Q552" s="13">
        <f t="shared" si="249"/>
        <v>2580.6451612903224</v>
      </c>
      <c r="R552" s="12">
        <f t="shared" si="250"/>
        <v>154.83870967741933</v>
      </c>
      <c r="S552" s="12">
        <f t="shared" si="222"/>
        <v>46</v>
      </c>
      <c r="T552" s="21">
        <v>0</v>
      </c>
      <c r="U552" s="13">
        <v>0</v>
      </c>
      <c r="V552" s="13">
        <f t="shared" si="263"/>
        <v>200.83870967741933</v>
      </c>
      <c r="W552" s="13">
        <f t="shared" si="241"/>
        <v>2379.8064516129029</v>
      </c>
      <c r="Y552" s="13">
        <f t="shared" si="228"/>
        <v>2379.8064516129029</v>
      </c>
      <c r="Z552" s="12">
        <f t="shared" si="266"/>
        <v>169.67741935483872</v>
      </c>
      <c r="AA552" s="12">
        <f t="shared" si="225"/>
        <v>123</v>
      </c>
      <c r="AB552" s="1">
        <f t="shared" si="255"/>
        <v>0</v>
      </c>
      <c r="AC552" s="16">
        <f t="shared" si="264"/>
        <v>292.67741935483872</v>
      </c>
      <c r="AD552" s="16">
        <f t="shared" si="227"/>
        <v>2873.322580645161</v>
      </c>
    </row>
    <row r="553" spans="1:30" x14ac:dyDescent="0.2">
      <c r="A553" s="10"/>
      <c r="B553" s="11" t="e">
        <f t="shared" si="221"/>
        <v>#REF!</v>
      </c>
      <c r="C553" s="11" t="s">
        <v>1031</v>
      </c>
      <c r="D553" s="11" t="s">
        <v>67</v>
      </c>
      <c r="F553" s="22">
        <v>42990</v>
      </c>
      <c r="G553" s="11">
        <v>32</v>
      </c>
      <c r="H553" s="13">
        <f t="shared" si="217"/>
        <v>5161.2903225806449</v>
      </c>
      <c r="I553" s="13">
        <f t="shared" si="253"/>
        <v>0</v>
      </c>
      <c r="J553" s="13">
        <f t="shared" si="236"/>
        <v>258.06451612903226</v>
      </c>
      <c r="L553" s="13">
        <f t="shared" si="218"/>
        <v>825.80645161290317</v>
      </c>
      <c r="N553" s="13">
        <f>((1950+3502)/G$3)*G553</f>
        <v>5627.8709677419356</v>
      </c>
      <c r="O553" s="13">
        <v>0</v>
      </c>
      <c r="Q553" s="13">
        <f t="shared" si="249"/>
        <v>11873.032258064515</v>
      </c>
      <c r="R553" s="12">
        <f t="shared" si="250"/>
        <v>619.35483870967732</v>
      </c>
      <c r="S553" s="12">
        <f t="shared" si="222"/>
        <v>208</v>
      </c>
      <c r="T553" s="21">
        <v>0</v>
      </c>
      <c r="U553" s="13">
        <v>0</v>
      </c>
      <c r="V553" s="13">
        <f t="shared" si="263"/>
        <v>827.35483870967732</v>
      </c>
      <c r="W553" s="13">
        <f t="shared" si="241"/>
        <v>11045.677419354837</v>
      </c>
      <c r="Y553" s="13">
        <f t="shared" si="228"/>
        <v>11045.677419354837</v>
      </c>
      <c r="Z553" s="12">
        <f t="shared" si="266"/>
        <v>678.70967741935488</v>
      </c>
      <c r="AA553" s="12">
        <f t="shared" si="225"/>
        <v>564</v>
      </c>
      <c r="AB553" s="1">
        <f t="shared" si="255"/>
        <v>0</v>
      </c>
      <c r="AC553" s="16">
        <f t="shared" ref="AC553:AC574" si="267">SUM(Z553:AB553)</f>
        <v>1242.7096774193549</v>
      </c>
      <c r="AD553" s="16">
        <f t="shared" si="227"/>
        <v>13115.741935483869</v>
      </c>
    </row>
    <row r="554" spans="1:30" x14ac:dyDescent="0.2">
      <c r="A554" s="10"/>
      <c r="B554" s="11" t="e">
        <f t="shared" si="221"/>
        <v>#REF!</v>
      </c>
      <c r="C554" s="11" t="s">
        <v>1032</v>
      </c>
      <c r="D554" s="11" t="s">
        <v>67</v>
      </c>
      <c r="F554" s="22">
        <v>42979</v>
      </c>
      <c r="G554" s="11">
        <v>32</v>
      </c>
      <c r="H554" s="13">
        <f t="shared" si="217"/>
        <v>5161.2903225806449</v>
      </c>
      <c r="I554" s="13">
        <f t="shared" si="253"/>
        <v>0</v>
      </c>
      <c r="J554" s="13">
        <f t="shared" si="236"/>
        <v>258.06451612903226</v>
      </c>
      <c r="L554" s="13">
        <f t="shared" si="218"/>
        <v>825.80645161290317</v>
      </c>
      <c r="N554" s="13">
        <f t="shared" ref="N554:N574" si="268">((1950+2000)/G$3)*G554</f>
        <v>4077.4193548387098</v>
      </c>
      <c r="O554" s="13">
        <v>0</v>
      </c>
      <c r="Q554" s="13">
        <f t="shared" si="249"/>
        <v>10322.58064516129</v>
      </c>
      <c r="R554" s="12">
        <f t="shared" si="250"/>
        <v>619.35483870967732</v>
      </c>
      <c r="S554" s="12">
        <f t="shared" si="222"/>
        <v>181</v>
      </c>
      <c r="T554" s="21">
        <v>0</v>
      </c>
      <c r="U554" s="13">
        <v>0</v>
      </c>
      <c r="V554" s="13">
        <f t="shared" si="263"/>
        <v>800.35483870967732</v>
      </c>
      <c r="W554" s="13">
        <f t="shared" si="241"/>
        <v>9522.2258064516118</v>
      </c>
      <c r="Y554" s="13">
        <f t="shared" si="228"/>
        <v>9522.2258064516118</v>
      </c>
      <c r="Z554" s="12">
        <f t="shared" si="266"/>
        <v>678.70967741935488</v>
      </c>
      <c r="AA554" s="12">
        <f t="shared" si="225"/>
        <v>491</v>
      </c>
      <c r="AB554" s="1">
        <f t="shared" si="255"/>
        <v>0</v>
      </c>
      <c r="AC554" s="16">
        <f t="shared" si="267"/>
        <v>1169.7096774193549</v>
      </c>
      <c r="AD554" s="16">
        <f t="shared" si="227"/>
        <v>11492.290322580644</v>
      </c>
    </row>
    <row r="555" spans="1:30" x14ac:dyDescent="0.2">
      <c r="A555" s="10"/>
      <c r="B555" s="11" t="e">
        <f t="shared" si="221"/>
        <v>#REF!</v>
      </c>
      <c r="C555" s="11" t="s">
        <v>1033</v>
      </c>
      <c r="D555" s="11" t="s">
        <v>67</v>
      </c>
      <c r="E555" s="11" t="s">
        <v>237</v>
      </c>
      <c r="F555" s="22">
        <v>42982</v>
      </c>
      <c r="G555" s="11">
        <v>29</v>
      </c>
      <c r="H555" s="13">
        <f t="shared" ref="H555:H574" si="269">(5000/G$3)*G555</f>
        <v>4677.4193548387093</v>
      </c>
      <c r="I555" s="13">
        <f t="shared" si="253"/>
        <v>0</v>
      </c>
      <c r="J555" s="13">
        <f t="shared" si="236"/>
        <v>233.87096774193549</v>
      </c>
      <c r="L555" s="13">
        <f t="shared" ref="L555:L574" si="270">((800)/G$3)*G555</f>
        <v>748.38709677419354</v>
      </c>
      <c r="N555" s="13">
        <f t="shared" si="268"/>
        <v>3695.1612903225805</v>
      </c>
      <c r="O555" s="13">
        <v>0</v>
      </c>
      <c r="Q555" s="13">
        <f t="shared" si="249"/>
        <v>9354.8387096774186</v>
      </c>
      <c r="R555" s="12">
        <f t="shared" si="250"/>
        <v>561.29032258064512</v>
      </c>
      <c r="S555" s="12">
        <f t="shared" si="222"/>
        <v>164</v>
      </c>
      <c r="T555" s="21">
        <v>0</v>
      </c>
      <c r="U555" s="13">
        <v>0</v>
      </c>
      <c r="V555" s="13">
        <f t="shared" si="263"/>
        <v>725.29032258064512</v>
      </c>
      <c r="W555" s="13">
        <f t="shared" si="241"/>
        <v>8629.5483870967728</v>
      </c>
      <c r="Y555" s="13">
        <f t="shared" si="228"/>
        <v>8629.5483870967728</v>
      </c>
      <c r="Z555" s="12">
        <f t="shared" si="266"/>
        <v>615.08064516129025</v>
      </c>
      <c r="AA555" s="12">
        <f t="shared" si="225"/>
        <v>445</v>
      </c>
      <c r="AB555" s="1">
        <f t="shared" si="255"/>
        <v>0</v>
      </c>
      <c r="AC555" s="16">
        <f t="shared" si="267"/>
        <v>1060.0806451612902</v>
      </c>
      <c r="AD555" s="16">
        <f t="shared" si="227"/>
        <v>10414.919354838708</v>
      </c>
    </row>
    <row r="556" spans="1:30" x14ac:dyDescent="0.2">
      <c r="A556" s="10"/>
      <c r="B556" s="11" t="e">
        <f t="shared" ref="B556:B574" si="271">B555+1</f>
        <v>#REF!</v>
      </c>
      <c r="C556" s="11" t="s">
        <v>1034</v>
      </c>
      <c r="D556" s="11" t="s">
        <v>67</v>
      </c>
      <c r="F556" s="22">
        <v>42986</v>
      </c>
      <c r="G556" s="11">
        <v>8</v>
      </c>
      <c r="H556" s="13">
        <f t="shared" si="269"/>
        <v>1290.3225806451612</v>
      </c>
      <c r="I556" s="13">
        <f t="shared" si="253"/>
        <v>0</v>
      </c>
      <c r="J556" s="13">
        <f t="shared" si="236"/>
        <v>64.516129032258064</v>
      </c>
      <c r="L556" s="13">
        <f t="shared" si="270"/>
        <v>206.45161290322579</v>
      </c>
      <c r="N556" s="13">
        <f t="shared" si="268"/>
        <v>1019.3548387096774</v>
      </c>
      <c r="O556" s="13">
        <v>0</v>
      </c>
      <c r="Q556" s="13">
        <f t="shared" si="249"/>
        <v>2580.6451612903224</v>
      </c>
      <c r="R556" s="12">
        <f t="shared" si="250"/>
        <v>154.83870967741933</v>
      </c>
      <c r="S556" s="12">
        <f t="shared" ref="S556:S574" si="272">ROUNDUP((Q556*1.75%),0)</f>
        <v>46</v>
      </c>
      <c r="T556" s="21">
        <v>0</v>
      </c>
      <c r="U556" s="13">
        <v>0</v>
      </c>
      <c r="V556" s="13">
        <f t="shared" si="263"/>
        <v>200.83870967741933</v>
      </c>
      <c r="W556" s="13">
        <f t="shared" si="241"/>
        <v>2379.8064516129029</v>
      </c>
      <c r="Y556" s="13">
        <f t="shared" si="228"/>
        <v>2379.8064516129029</v>
      </c>
      <c r="Z556" s="12">
        <f t="shared" si="266"/>
        <v>169.67741935483872</v>
      </c>
      <c r="AA556" s="12">
        <f t="shared" ref="AA556:AA574" si="273">CEILING((Q556)*4.75%,1)</f>
        <v>123</v>
      </c>
      <c r="AB556" s="1">
        <f t="shared" si="255"/>
        <v>0</v>
      </c>
      <c r="AC556" s="16">
        <f t="shared" si="267"/>
        <v>292.67741935483872</v>
      </c>
      <c r="AD556" s="16">
        <f t="shared" si="227"/>
        <v>2873.322580645161</v>
      </c>
    </row>
    <row r="557" spans="1:30" x14ac:dyDescent="0.2">
      <c r="A557" s="10"/>
      <c r="B557" s="11" t="e">
        <f t="shared" si="271"/>
        <v>#REF!</v>
      </c>
      <c r="C557" s="11" t="s">
        <v>1035</v>
      </c>
      <c r="D557" s="11" t="s">
        <v>67</v>
      </c>
      <c r="F557" s="22">
        <v>42995</v>
      </c>
      <c r="G557" s="11">
        <v>34</v>
      </c>
      <c r="H557" s="13">
        <f t="shared" si="269"/>
        <v>5483.8709677419356</v>
      </c>
      <c r="I557" s="13">
        <f t="shared" si="253"/>
        <v>0</v>
      </c>
      <c r="J557" s="13">
        <f t="shared" si="236"/>
        <v>274.19354838709677</v>
      </c>
      <c r="L557" s="13">
        <f t="shared" si="270"/>
        <v>877.41935483870964</v>
      </c>
      <c r="N557" s="13">
        <f t="shared" si="268"/>
        <v>4332.2580645161288</v>
      </c>
      <c r="O557" s="13">
        <v>0</v>
      </c>
      <c r="P557" s="13">
        <v>250</v>
      </c>
      <c r="Q557" s="13">
        <f t="shared" si="249"/>
        <v>11217.741935483871</v>
      </c>
      <c r="R557" s="12">
        <f t="shared" si="250"/>
        <v>658.0645161290322</v>
      </c>
      <c r="S557" s="12">
        <f t="shared" si="272"/>
        <v>197</v>
      </c>
      <c r="T557" s="21">
        <v>0</v>
      </c>
      <c r="U557" s="13">
        <v>0</v>
      </c>
      <c r="V557" s="13">
        <f t="shared" si="263"/>
        <v>855.0645161290322</v>
      </c>
      <c r="W557" s="13">
        <f t="shared" si="241"/>
        <v>10362.677419354839</v>
      </c>
      <c r="Y557" s="13">
        <f t="shared" si="228"/>
        <v>10362.677419354839</v>
      </c>
      <c r="Z557" s="12">
        <f t="shared" si="266"/>
        <v>721.12903225806451</v>
      </c>
      <c r="AA557" s="12">
        <f t="shared" si="273"/>
        <v>533</v>
      </c>
      <c r="AB557" s="1">
        <f t="shared" si="255"/>
        <v>0</v>
      </c>
      <c r="AC557" s="16">
        <f t="shared" si="267"/>
        <v>1254.1290322580644</v>
      </c>
      <c r="AD557" s="16">
        <f t="shared" ref="AD557:AD574" si="274">Q557+AC557</f>
        <v>12471.870967741936</v>
      </c>
    </row>
    <row r="558" spans="1:30" x14ac:dyDescent="0.2">
      <c r="A558" s="10"/>
      <c r="B558" s="11" t="e">
        <f t="shared" si="271"/>
        <v>#REF!</v>
      </c>
      <c r="C558" s="11" t="s">
        <v>1036</v>
      </c>
      <c r="D558" s="11" t="s">
        <v>67</v>
      </c>
      <c r="F558" s="22">
        <v>42990</v>
      </c>
      <c r="G558" s="11">
        <v>32</v>
      </c>
      <c r="H558" s="13">
        <f t="shared" si="269"/>
        <v>5161.2903225806449</v>
      </c>
      <c r="I558" s="13">
        <f t="shared" si="253"/>
        <v>0</v>
      </c>
      <c r="J558" s="13">
        <f t="shared" si="236"/>
        <v>258.06451612903226</v>
      </c>
      <c r="L558" s="13">
        <f t="shared" si="270"/>
        <v>825.80645161290317</v>
      </c>
      <c r="N558" s="13">
        <f t="shared" si="268"/>
        <v>4077.4193548387098</v>
      </c>
      <c r="O558" s="13">
        <v>0</v>
      </c>
      <c r="Q558" s="13">
        <f t="shared" si="249"/>
        <v>10322.58064516129</v>
      </c>
      <c r="R558" s="12">
        <f t="shared" si="250"/>
        <v>619.35483870967732</v>
      </c>
      <c r="S558" s="12">
        <f t="shared" si="272"/>
        <v>181</v>
      </c>
      <c r="T558" s="21">
        <v>0</v>
      </c>
      <c r="U558" s="13">
        <v>0</v>
      </c>
      <c r="V558" s="13">
        <f t="shared" si="263"/>
        <v>800.35483870967732</v>
      </c>
      <c r="W558" s="13">
        <f t="shared" si="241"/>
        <v>9522.2258064516118</v>
      </c>
      <c r="Y558" s="13">
        <f t="shared" ref="Y558:Y574" si="275">W558-X558</f>
        <v>9522.2258064516118</v>
      </c>
      <c r="Z558" s="12">
        <f t="shared" si="266"/>
        <v>678.70967741935488</v>
      </c>
      <c r="AA558" s="12">
        <f t="shared" si="273"/>
        <v>491</v>
      </c>
      <c r="AB558" s="1">
        <f t="shared" si="255"/>
        <v>0</v>
      </c>
      <c r="AC558" s="16">
        <f t="shared" si="267"/>
        <v>1169.7096774193549</v>
      </c>
      <c r="AD558" s="16">
        <f t="shared" si="274"/>
        <v>11492.290322580644</v>
      </c>
    </row>
    <row r="559" spans="1:30" x14ac:dyDescent="0.2">
      <c r="A559" s="10"/>
      <c r="B559" s="11" t="e">
        <f t="shared" si="271"/>
        <v>#REF!</v>
      </c>
      <c r="C559" s="11" t="s">
        <v>1037</v>
      </c>
      <c r="D559" s="11" t="s">
        <v>67</v>
      </c>
      <c r="F559" s="22">
        <v>42993</v>
      </c>
      <c r="G559" s="11">
        <v>5</v>
      </c>
      <c r="H559" s="13">
        <f t="shared" si="269"/>
        <v>806.45161290322574</v>
      </c>
      <c r="I559" s="13">
        <f t="shared" si="253"/>
        <v>0</v>
      </c>
      <c r="J559" s="13">
        <f t="shared" si="236"/>
        <v>40.322580645161288</v>
      </c>
      <c r="L559" s="13">
        <f t="shared" si="270"/>
        <v>129.03225806451613</v>
      </c>
      <c r="N559" s="13">
        <f t="shared" si="268"/>
        <v>637.09677419354841</v>
      </c>
      <c r="O559" s="13">
        <v>0</v>
      </c>
      <c r="Q559" s="13">
        <f t="shared" si="249"/>
        <v>1612.9032258064517</v>
      </c>
      <c r="R559" s="12">
        <f t="shared" si="250"/>
        <v>96.774193548387089</v>
      </c>
      <c r="S559" s="12">
        <f t="shared" si="272"/>
        <v>29</v>
      </c>
      <c r="T559" s="21">
        <v>0</v>
      </c>
      <c r="U559" s="13">
        <v>0</v>
      </c>
      <c r="V559" s="13">
        <f t="shared" si="263"/>
        <v>125.77419354838709</v>
      </c>
      <c r="W559" s="13">
        <f t="shared" si="241"/>
        <v>1487.1290322580646</v>
      </c>
      <c r="Y559" s="13">
        <f t="shared" si="275"/>
        <v>1487.1290322580646</v>
      </c>
      <c r="Z559" s="12">
        <f t="shared" si="266"/>
        <v>106.04838709677419</v>
      </c>
      <c r="AA559" s="12">
        <f t="shared" si="273"/>
        <v>77</v>
      </c>
      <c r="AB559" s="1">
        <f t="shared" si="255"/>
        <v>0</v>
      </c>
      <c r="AC559" s="16">
        <f t="shared" si="267"/>
        <v>183.04838709677421</v>
      </c>
      <c r="AD559" s="16">
        <f t="shared" si="274"/>
        <v>1795.9516129032259</v>
      </c>
    </row>
    <row r="560" spans="1:30" x14ac:dyDescent="0.2">
      <c r="A560" s="10"/>
      <c r="B560" s="11" t="e">
        <f t="shared" si="271"/>
        <v>#REF!</v>
      </c>
      <c r="C560" s="11" t="s">
        <v>1038</v>
      </c>
      <c r="D560" s="11" t="s">
        <v>67</v>
      </c>
      <c r="F560" s="22">
        <v>42997</v>
      </c>
      <c r="G560" s="11">
        <v>14</v>
      </c>
      <c r="H560" s="13">
        <f t="shared" si="269"/>
        <v>2258.0645161290322</v>
      </c>
      <c r="I560" s="13">
        <f t="shared" si="253"/>
        <v>0</v>
      </c>
      <c r="J560" s="13">
        <f t="shared" si="236"/>
        <v>112.90322580645162</v>
      </c>
      <c r="L560" s="13">
        <f t="shared" si="270"/>
        <v>361.29032258064512</v>
      </c>
      <c r="N560" s="13">
        <f t="shared" si="268"/>
        <v>1783.8709677419356</v>
      </c>
      <c r="O560" s="13">
        <v>0</v>
      </c>
      <c r="Q560" s="13">
        <f t="shared" si="249"/>
        <v>4516.1290322580644</v>
      </c>
      <c r="R560" s="12">
        <f t="shared" si="250"/>
        <v>270.96774193548384</v>
      </c>
      <c r="S560" s="12">
        <f t="shared" si="272"/>
        <v>80</v>
      </c>
      <c r="T560" s="21">
        <v>0</v>
      </c>
      <c r="U560" s="13">
        <v>0</v>
      </c>
      <c r="V560" s="13">
        <f t="shared" si="263"/>
        <v>350.96774193548384</v>
      </c>
      <c r="W560" s="13">
        <f t="shared" si="241"/>
        <v>4165.1612903225805</v>
      </c>
      <c r="Y560" s="13">
        <f t="shared" si="275"/>
        <v>4165.1612903225805</v>
      </c>
      <c r="Z560" s="12">
        <f t="shared" si="266"/>
        <v>296.93548387096774</v>
      </c>
      <c r="AA560" s="12">
        <f t="shared" si="273"/>
        <v>215</v>
      </c>
      <c r="AB560" s="1">
        <f t="shared" si="255"/>
        <v>0</v>
      </c>
      <c r="AC560" s="16">
        <f t="shared" si="267"/>
        <v>511.93548387096774</v>
      </c>
      <c r="AD560" s="16">
        <f t="shared" si="274"/>
        <v>5028.0645161290322</v>
      </c>
    </row>
    <row r="561" spans="1:30" x14ac:dyDescent="0.2">
      <c r="A561" s="10" t="s">
        <v>315</v>
      </c>
      <c r="B561" s="11" t="e">
        <f t="shared" si="271"/>
        <v>#REF!</v>
      </c>
      <c r="C561" s="11" t="s">
        <v>1171</v>
      </c>
      <c r="D561" s="11" t="s">
        <v>67</v>
      </c>
      <c r="F561" s="22">
        <v>43014</v>
      </c>
      <c r="G561" s="11">
        <v>25</v>
      </c>
      <c r="H561" s="13">
        <f t="shared" si="269"/>
        <v>4032.2580645161288</v>
      </c>
      <c r="I561" s="13">
        <f t="shared" si="253"/>
        <v>0</v>
      </c>
      <c r="J561" s="13">
        <f t="shared" si="236"/>
        <v>201.61290322580646</v>
      </c>
      <c r="L561" s="13">
        <f t="shared" si="270"/>
        <v>645.16129032258061</v>
      </c>
      <c r="N561" s="13">
        <f t="shared" si="268"/>
        <v>3185.483870967742</v>
      </c>
      <c r="O561" s="13">
        <v>0</v>
      </c>
      <c r="Q561" s="13">
        <f t="shared" si="249"/>
        <v>8064.5161290322576</v>
      </c>
      <c r="R561" s="12">
        <f t="shared" si="250"/>
        <v>483.87096774193543</v>
      </c>
      <c r="S561" s="12">
        <f t="shared" si="272"/>
        <v>142</v>
      </c>
      <c r="T561" s="21">
        <v>0</v>
      </c>
      <c r="U561" s="13">
        <v>0</v>
      </c>
      <c r="V561" s="13">
        <f t="shared" si="263"/>
        <v>625.87096774193537</v>
      </c>
      <c r="W561" s="13">
        <f t="shared" si="241"/>
        <v>7438.645161290322</v>
      </c>
      <c r="Y561" s="13">
        <f t="shared" si="275"/>
        <v>7438.645161290322</v>
      </c>
      <c r="Z561" s="12">
        <f t="shared" si="266"/>
        <v>530.24193548387098</v>
      </c>
      <c r="AA561" s="12">
        <f t="shared" si="273"/>
        <v>384</v>
      </c>
      <c r="AB561" s="1">
        <f t="shared" si="255"/>
        <v>0</v>
      </c>
      <c r="AC561" s="16">
        <f t="shared" si="267"/>
        <v>914.24193548387098</v>
      </c>
      <c r="AD561" s="16">
        <f t="shared" si="274"/>
        <v>8978.7580645161288</v>
      </c>
    </row>
    <row r="562" spans="1:30" x14ac:dyDescent="0.2">
      <c r="A562" s="10" t="s">
        <v>315</v>
      </c>
      <c r="B562" s="11" t="e">
        <f t="shared" si="271"/>
        <v>#REF!</v>
      </c>
      <c r="C562" s="11" t="s">
        <v>1172</v>
      </c>
      <c r="D562" s="11" t="s">
        <v>67</v>
      </c>
      <c r="F562" s="22">
        <v>43018</v>
      </c>
      <c r="G562" s="11">
        <v>14</v>
      </c>
      <c r="H562" s="13">
        <f t="shared" si="269"/>
        <v>2258.0645161290322</v>
      </c>
      <c r="I562" s="13">
        <f t="shared" si="253"/>
        <v>0</v>
      </c>
      <c r="J562" s="13">
        <f t="shared" si="236"/>
        <v>112.90322580645162</v>
      </c>
      <c r="L562" s="13">
        <f t="shared" si="270"/>
        <v>361.29032258064512</v>
      </c>
      <c r="N562" s="13">
        <f t="shared" si="268"/>
        <v>1783.8709677419356</v>
      </c>
      <c r="O562" s="13">
        <v>0</v>
      </c>
      <c r="Q562" s="13">
        <f t="shared" si="249"/>
        <v>4516.1290322580644</v>
      </c>
      <c r="R562" s="12">
        <f t="shared" si="250"/>
        <v>270.96774193548384</v>
      </c>
      <c r="S562" s="12">
        <f t="shared" si="272"/>
        <v>80</v>
      </c>
      <c r="T562" s="21">
        <v>0</v>
      </c>
      <c r="U562" s="13">
        <v>0</v>
      </c>
      <c r="V562" s="13">
        <f t="shared" si="263"/>
        <v>350.96774193548384</v>
      </c>
      <c r="W562" s="13">
        <f t="shared" si="241"/>
        <v>4165.1612903225805</v>
      </c>
      <c r="Y562" s="13">
        <f t="shared" si="275"/>
        <v>4165.1612903225805</v>
      </c>
      <c r="Z562" s="12">
        <f t="shared" si="266"/>
        <v>296.93548387096774</v>
      </c>
      <c r="AA562" s="12">
        <f t="shared" si="273"/>
        <v>215</v>
      </c>
      <c r="AB562" s="1">
        <f t="shared" si="255"/>
        <v>0</v>
      </c>
      <c r="AC562" s="16">
        <f t="shared" si="267"/>
        <v>511.93548387096774</v>
      </c>
      <c r="AD562" s="16">
        <f t="shared" si="274"/>
        <v>5028.0645161290322</v>
      </c>
    </row>
    <row r="563" spans="1:30" x14ac:dyDescent="0.2">
      <c r="A563" s="10" t="s">
        <v>315</v>
      </c>
      <c r="B563" s="11" t="e">
        <f t="shared" si="271"/>
        <v>#REF!</v>
      </c>
      <c r="C563" s="11" t="s">
        <v>1173</v>
      </c>
      <c r="D563" s="11" t="s">
        <v>67</v>
      </c>
      <c r="F563" s="22">
        <v>43017</v>
      </c>
      <c r="G563" s="11">
        <v>25</v>
      </c>
      <c r="H563" s="13">
        <f t="shared" si="269"/>
        <v>4032.2580645161288</v>
      </c>
      <c r="I563" s="13">
        <f t="shared" si="253"/>
        <v>0</v>
      </c>
      <c r="J563" s="13">
        <f t="shared" si="236"/>
        <v>201.61290322580646</v>
      </c>
      <c r="L563" s="13">
        <f t="shared" si="270"/>
        <v>645.16129032258061</v>
      </c>
      <c r="N563" s="13">
        <f t="shared" si="268"/>
        <v>3185.483870967742</v>
      </c>
      <c r="O563" s="13">
        <v>0</v>
      </c>
      <c r="Q563" s="13">
        <f t="shared" si="249"/>
        <v>8064.5161290322576</v>
      </c>
      <c r="R563" s="12">
        <f t="shared" si="250"/>
        <v>483.87096774193543</v>
      </c>
      <c r="S563" s="12">
        <f t="shared" si="272"/>
        <v>142</v>
      </c>
      <c r="T563" s="21">
        <v>0</v>
      </c>
      <c r="U563" s="13">
        <v>0</v>
      </c>
      <c r="V563" s="13">
        <f t="shared" si="263"/>
        <v>625.87096774193537</v>
      </c>
      <c r="W563" s="13">
        <f t="shared" si="241"/>
        <v>7438.645161290322</v>
      </c>
      <c r="Y563" s="13">
        <f t="shared" si="275"/>
        <v>7438.645161290322</v>
      </c>
      <c r="Z563" s="12">
        <f t="shared" si="266"/>
        <v>530.24193548387098</v>
      </c>
      <c r="AA563" s="12">
        <f t="shared" si="273"/>
        <v>384</v>
      </c>
      <c r="AB563" s="1">
        <f t="shared" si="255"/>
        <v>0</v>
      </c>
      <c r="AC563" s="16">
        <f t="shared" si="267"/>
        <v>914.24193548387098</v>
      </c>
      <c r="AD563" s="16">
        <f t="shared" si="274"/>
        <v>8978.7580645161288</v>
      </c>
    </row>
    <row r="564" spans="1:30" x14ac:dyDescent="0.2">
      <c r="A564" s="10" t="s">
        <v>315</v>
      </c>
      <c r="B564" s="11" t="e">
        <f t="shared" si="271"/>
        <v>#REF!</v>
      </c>
      <c r="C564" s="11" t="s">
        <v>1174</v>
      </c>
      <c r="D564" s="11" t="s">
        <v>67</v>
      </c>
      <c r="F564" s="22">
        <v>43019</v>
      </c>
      <c r="G564" s="11">
        <v>21</v>
      </c>
      <c r="H564" s="13">
        <f t="shared" si="269"/>
        <v>3387.0967741935483</v>
      </c>
      <c r="I564" s="13">
        <f t="shared" si="253"/>
        <v>0</v>
      </c>
      <c r="J564" s="13">
        <f t="shared" si="236"/>
        <v>169.35483870967744</v>
      </c>
      <c r="L564" s="13">
        <f t="shared" si="270"/>
        <v>541.93548387096769</v>
      </c>
      <c r="N564" s="13">
        <f t="shared" si="268"/>
        <v>2675.8064516129034</v>
      </c>
      <c r="O564" s="13">
        <v>0</v>
      </c>
      <c r="Q564" s="13">
        <f t="shared" si="249"/>
        <v>6774.1935483870966</v>
      </c>
      <c r="R564" s="12">
        <f t="shared" si="250"/>
        <v>406.45161290322579</v>
      </c>
      <c r="S564" s="12">
        <f t="shared" si="272"/>
        <v>119</v>
      </c>
      <c r="T564" s="21">
        <v>0</v>
      </c>
      <c r="U564" s="13">
        <v>0</v>
      </c>
      <c r="V564" s="13">
        <f t="shared" si="263"/>
        <v>525.45161290322585</v>
      </c>
      <c r="W564" s="13">
        <f t="shared" si="241"/>
        <v>6248.7419354838712</v>
      </c>
      <c r="Y564" s="13">
        <f t="shared" si="275"/>
        <v>6248.7419354838712</v>
      </c>
      <c r="Z564" s="12">
        <f t="shared" si="266"/>
        <v>445.40322580645164</v>
      </c>
      <c r="AA564" s="12">
        <f t="shared" si="273"/>
        <v>322</v>
      </c>
      <c r="AB564" s="1">
        <f t="shared" si="255"/>
        <v>0</v>
      </c>
      <c r="AC564" s="16">
        <f t="shared" si="267"/>
        <v>767.4032258064517</v>
      </c>
      <c r="AD564" s="16">
        <f t="shared" si="274"/>
        <v>7541.5967741935483</v>
      </c>
    </row>
    <row r="565" spans="1:30" x14ac:dyDescent="0.2">
      <c r="A565" s="10" t="s">
        <v>315</v>
      </c>
      <c r="B565" s="11" t="e">
        <f t="shared" si="271"/>
        <v>#REF!</v>
      </c>
      <c r="C565" s="11" t="s">
        <v>1175</v>
      </c>
      <c r="D565" s="11" t="s">
        <v>67</v>
      </c>
      <c r="F565" s="22">
        <v>43019</v>
      </c>
      <c r="G565" s="11">
        <v>21</v>
      </c>
      <c r="H565" s="13">
        <f t="shared" si="269"/>
        <v>3387.0967741935483</v>
      </c>
      <c r="I565" s="13">
        <f t="shared" si="253"/>
        <v>0</v>
      </c>
      <c r="J565" s="13">
        <f t="shared" si="236"/>
        <v>169.35483870967744</v>
      </c>
      <c r="L565" s="13">
        <f t="shared" si="270"/>
        <v>541.93548387096769</v>
      </c>
      <c r="N565" s="13">
        <f t="shared" si="268"/>
        <v>2675.8064516129034</v>
      </c>
      <c r="O565" s="13">
        <v>0</v>
      </c>
      <c r="Q565" s="13">
        <f t="shared" si="249"/>
        <v>6774.1935483870966</v>
      </c>
      <c r="R565" s="12">
        <f t="shared" si="250"/>
        <v>406.45161290322579</v>
      </c>
      <c r="S565" s="12">
        <f t="shared" si="272"/>
        <v>119</v>
      </c>
      <c r="T565" s="21">
        <v>0</v>
      </c>
      <c r="U565" s="13">
        <v>0</v>
      </c>
      <c r="V565" s="13">
        <f t="shared" si="263"/>
        <v>525.45161290322585</v>
      </c>
      <c r="W565" s="13">
        <f t="shared" si="241"/>
        <v>6248.7419354838712</v>
      </c>
      <c r="Y565" s="13">
        <f t="shared" si="275"/>
        <v>6248.7419354838712</v>
      </c>
      <c r="Z565" s="12">
        <f t="shared" si="266"/>
        <v>445.40322580645164</v>
      </c>
      <c r="AA565" s="12">
        <f t="shared" si="273"/>
        <v>322</v>
      </c>
      <c r="AB565" s="1">
        <f t="shared" si="255"/>
        <v>0</v>
      </c>
      <c r="AC565" s="16">
        <f t="shared" si="267"/>
        <v>767.4032258064517</v>
      </c>
      <c r="AD565" s="16">
        <f t="shared" si="274"/>
        <v>7541.5967741935483</v>
      </c>
    </row>
    <row r="566" spans="1:30" x14ac:dyDescent="0.2">
      <c r="A566" s="10" t="s">
        <v>315</v>
      </c>
      <c r="B566" s="11" t="e">
        <f t="shared" si="271"/>
        <v>#REF!</v>
      </c>
      <c r="C566" s="11" t="s">
        <v>1176</v>
      </c>
      <c r="D566" s="11" t="s">
        <v>67</v>
      </c>
      <c r="F566" s="22">
        <v>43020</v>
      </c>
      <c r="G566" s="11">
        <v>19</v>
      </c>
      <c r="H566" s="13">
        <f t="shared" si="269"/>
        <v>3064.516129032258</v>
      </c>
      <c r="I566" s="13">
        <f t="shared" si="253"/>
        <v>0</v>
      </c>
      <c r="J566" s="13">
        <f t="shared" si="236"/>
        <v>153.2258064516129</v>
      </c>
      <c r="L566" s="13">
        <f t="shared" si="270"/>
        <v>490.32258064516128</v>
      </c>
      <c r="N566" s="13">
        <f t="shared" si="268"/>
        <v>2420.9677419354839</v>
      </c>
      <c r="O566" s="13">
        <v>0</v>
      </c>
      <c r="Q566" s="13">
        <f t="shared" si="249"/>
        <v>6129.0322580645161</v>
      </c>
      <c r="R566" s="12">
        <f t="shared" si="250"/>
        <v>367.74193548387098</v>
      </c>
      <c r="S566" s="12">
        <f t="shared" si="272"/>
        <v>108</v>
      </c>
      <c r="T566" s="21">
        <v>0</v>
      </c>
      <c r="U566" s="13">
        <v>0</v>
      </c>
      <c r="V566" s="13">
        <f t="shared" si="263"/>
        <v>475.74193548387098</v>
      </c>
      <c r="W566" s="13">
        <f t="shared" si="241"/>
        <v>5653.2903225806449</v>
      </c>
      <c r="Y566" s="13">
        <f t="shared" si="275"/>
        <v>5653.2903225806449</v>
      </c>
      <c r="Z566" s="12">
        <f t="shared" si="266"/>
        <v>402.98387096774195</v>
      </c>
      <c r="AA566" s="12">
        <f t="shared" si="273"/>
        <v>292</v>
      </c>
      <c r="AB566" s="1">
        <f t="shared" si="255"/>
        <v>0</v>
      </c>
      <c r="AC566" s="16">
        <f t="shared" si="267"/>
        <v>694.98387096774195</v>
      </c>
      <c r="AD566" s="16">
        <f t="shared" si="274"/>
        <v>6824.0161290322576</v>
      </c>
    </row>
    <row r="567" spans="1:30" x14ac:dyDescent="0.2">
      <c r="A567" s="10" t="s">
        <v>315</v>
      </c>
      <c r="B567" s="11" t="e">
        <f t="shared" si="271"/>
        <v>#REF!</v>
      </c>
      <c r="C567" s="11" t="s">
        <v>1177</v>
      </c>
      <c r="D567" s="11" t="s">
        <v>67</v>
      </c>
      <c r="F567" s="22">
        <v>43020</v>
      </c>
      <c r="G567" s="11">
        <v>21</v>
      </c>
      <c r="H567" s="13">
        <f t="shared" si="269"/>
        <v>3387.0967741935483</v>
      </c>
      <c r="I567" s="13">
        <f t="shared" si="253"/>
        <v>0</v>
      </c>
      <c r="J567" s="13">
        <f t="shared" si="236"/>
        <v>169.35483870967744</v>
      </c>
      <c r="L567" s="13">
        <f t="shared" si="270"/>
        <v>541.93548387096769</v>
      </c>
      <c r="N567" s="13">
        <f t="shared" si="268"/>
        <v>2675.8064516129034</v>
      </c>
      <c r="O567" s="13">
        <v>0</v>
      </c>
      <c r="Q567" s="13">
        <f t="shared" si="249"/>
        <v>6774.1935483870966</v>
      </c>
      <c r="R567" s="12">
        <f t="shared" si="250"/>
        <v>406.45161290322579</v>
      </c>
      <c r="S567" s="12">
        <f t="shared" si="272"/>
        <v>119</v>
      </c>
      <c r="T567" s="21">
        <v>0</v>
      </c>
      <c r="U567" s="13">
        <v>0</v>
      </c>
      <c r="V567" s="13">
        <f t="shared" si="263"/>
        <v>525.45161290322585</v>
      </c>
      <c r="W567" s="13">
        <f t="shared" si="241"/>
        <v>6248.7419354838712</v>
      </c>
      <c r="Y567" s="13">
        <f t="shared" si="275"/>
        <v>6248.7419354838712</v>
      </c>
      <c r="Z567" s="12">
        <f t="shared" si="266"/>
        <v>445.40322580645164</v>
      </c>
      <c r="AA567" s="12">
        <f t="shared" si="273"/>
        <v>322</v>
      </c>
      <c r="AB567" s="1">
        <f t="shared" si="255"/>
        <v>0</v>
      </c>
      <c r="AC567" s="16">
        <f t="shared" si="267"/>
        <v>767.4032258064517</v>
      </c>
      <c r="AD567" s="16">
        <f t="shared" si="274"/>
        <v>7541.5967741935483</v>
      </c>
    </row>
    <row r="568" spans="1:30" x14ac:dyDescent="0.2">
      <c r="A568" s="10" t="s">
        <v>315</v>
      </c>
      <c r="B568" s="11" t="e">
        <f t="shared" si="271"/>
        <v>#REF!</v>
      </c>
      <c r="C568" s="11" t="s">
        <v>1178</v>
      </c>
      <c r="D568" s="11" t="s">
        <v>67</v>
      </c>
      <c r="F568" s="22">
        <v>43024</v>
      </c>
      <c r="G568" s="11">
        <v>16</v>
      </c>
      <c r="H568" s="13">
        <f t="shared" si="269"/>
        <v>2580.6451612903224</v>
      </c>
      <c r="I568" s="13">
        <f t="shared" si="253"/>
        <v>0</v>
      </c>
      <c r="J568" s="13">
        <f t="shared" si="236"/>
        <v>129.03225806451613</v>
      </c>
      <c r="L568" s="13">
        <f t="shared" si="270"/>
        <v>412.90322580645159</v>
      </c>
      <c r="N568" s="13">
        <f t="shared" si="268"/>
        <v>2038.7096774193549</v>
      </c>
      <c r="O568" s="13">
        <v>0</v>
      </c>
      <c r="Q568" s="13">
        <f t="shared" si="249"/>
        <v>5161.2903225806449</v>
      </c>
      <c r="R568" s="12">
        <f t="shared" si="250"/>
        <v>309.67741935483866</v>
      </c>
      <c r="S568" s="12">
        <f t="shared" si="272"/>
        <v>91</v>
      </c>
      <c r="T568" s="21">
        <v>0</v>
      </c>
      <c r="U568" s="13">
        <v>0</v>
      </c>
      <c r="V568" s="13">
        <f t="shared" si="263"/>
        <v>400.67741935483866</v>
      </c>
      <c r="W568" s="13">
        <f t="shared" si="241"/>
        <v>4760.6129032258059</v>
      </c>
      <c r="Y568" s="13">
        <f t="shared" si="275"/>
        <v>4760.6129032258059</v>
      </c>
      <c r="Z568" s="12">
        <f t="shared" si="266"/>
        <v>339.35483870967744</v>
      </c>
      <c r="AA568" s="12">
        <f t="shared" si="273"/>
        <v>246</v>
      </c>
      <c r="AB568" s="1">
        <f t="shared" si="255"/>
        <v>0</v>
      </c>
      <c r="AC568" s="16">
        <f t="shared" si="267"/>
        <v>585.35483870967744</v>
      </c>
      <c r="AD568" s="16">
        <f t="shared" si="274"/>
        <v>5746.645161290322</v>
      </c>
    </row>
    <row r="569" spans="1:30" x14ac:dyDescent="0.2">
      <c r="A569" s="10" t="s">
        <v>315</v>
      </c>
      <c r="B569" s="11" t="e">
        <f t="shared" si="271"/>
        <v>#REF!</v>
      </c>
      <c r="C569" s="11" t="s">
        <v>1179</v>
      </c>
      <c r="D569" s="11" t="s">
        <v>67</v>
      </c>
      <c r="F569" s="22">
        <v>43024</v>
      </c>
      <c r="G569" s="11">
        <v>13</v>
      </c>
      <c r="H569" s="13">
        <f t="shared" si="269"/>
        <v>2096.7741935483868</v>
      </c>
      <c r="I569" s="13">
        <f t="shared" si="253"/>
        <v>0</v>
      </c>
      <c r="J569" s="13">
        <f t="shared" si="236"/>
        <v>104.83870967741935</v>
      </c>
      <c r="L569" s="13">
        <f t="shared" si="270"/>
        <v>335.48387096774189</v>
      </c>
      <c r="N569" s="13">
        <f t="shared" si="268"/>
        <v>1656.4516129032259</v>
      </c>
      <c r="O569" s="13">
        <v>0</v>
      </c>
      <c r="Q569" s="13">
        <f t="shared" si="249"/>
        <v>4193.5483870967746</v>
      </c>
      <c r="R569" s="12">
        <f t="shared" si="250"/>
        <v>251.61290322580641</v>
      </c>
      <c r="S569" s="12">
        <f t="shared" si="272"/>
        <v>74</v>
      </c>
      <c r="T569" s="21">
        <v>0</v>
      </c>
      <c r="U569" s="13">
        <v>0</v>
      </c>
      <c r="V569" s="13">
        <f t="shared" si="263"/>
        <v>325.61290322580641</v>
      </c>
      <c r="W569" s="13">
        <f t="shared" si="241"/>
        <v>3867.9354838709683</v>
      </c>
      <c r="Y569" s="13">
        <f t="shared" si="275"/>
        <v>3867.9354838709683</v>
      </c>
      <c r="Z569" s="12">
        <f t="shared" si="266"/>
        <v>275.72580645161287</v>
      </c>
      <c r="AA569" s="12">
        <f t="shared" si="273"/>
        <v>200</v>
      </c>
      <c r="AB569" s="1">
        <f t="shared" si="255"/>
        <v>0</v>
      </c>
      <c r="AC569" s="16">
        <f t="shared" si="267"/>
        <v>475.72580645161287</v>
      </c>
      <c r="AD569" s="16">
        <f t="shared" si="274"/>
        <v>4669.2741935483873</v>
      </c>
    </row>
    <row r="570" spans="1:30" x14ac:dyDescent="0.2">
      <c r="A570" s="10" t="s">
        <v>315</v>
      </c>
      <c r="B570" s="11" t="e">
        <f t="shared" si="271"/>
        <v>#REF!</v>
      </c>
      <c r="C570" s="11" t="s">
        <v>1180</v>
      </c>
      <c r="D570" s="11" t="s">
        <v>67</v>
      </c>
      <c r="F570" s="22">
        <v>43028</v>
      </c>
      <c r="G570" s="11">
        <v>12</v>
      </c>
      <c r="H570" s="13">
        <f t="shared" si="269"/>
        <v>1935.483870967742</v>
      </c>
      <c r="I570" s="13">
        <f t="shared" si="253"/>
        <v>0</v>
      </c>
      <c r="J570" s="13">
        <f t="shared" si="236"/>
        <v>96.774193548387103</v>
      </c>
      <c r="L570" s="13">
        <f t="shared" si="270"/>
        <v>309.67741935483866</v>
      </c>
      <c r="N570" s="13">
        <f t="shared" si="268"/>
        <v>1529.0322580645161</v>
      </c>
      <c r="O570" s="13">
        <v>0</v>
      </c>
      <c r="Q570" s="13">
        <f t="shared" si="249"/>
        <v>3870.9677419354839</v>
      </c>
      <c r="R570" s="12">
        <f t="shared" si="250"/>
        <v>232.25806451612902</v>
      </c>
      <c r="S570" s="12">
        <f t="shared" si="272"/>
        <v>68</v>
      </c>
      <c r="T570" s="21">
        <v>0</v>
      </c>
      <c r="U570" s="13">
        <v>0</v>
      </c>
      <c r="V570" s="13">
        <f t="shared" si="263"/>
        <v>300.25806451612902</v>
      </c>
      <c r="W570" s="13">
        <f t="shared" si="241"/>
        <v>3570.7096774193551</v>
      </c>
      <c r="Y570" s="13">
        <f t="shared" si="275"/>
        <v>3570.7096774193551</v>
      </c>
      <c r="Z570" s="12">
        <f t="shared" si="266"/>
        <v>254.51612903225808</v>
      </c>
      <c r="AA570" s="12">
        <f t="shared" si="273"/>
        <v>184</v>
      </c>
      <c r="AB570" s="1">
        <f t="shared" si="255"/>
        <v>0</v>
      </c>
      <c r="AC570" s="16">
        <f t="shared" si="267"/>
        <v>438.51612903225805</v>
      </c>
      <c r="AD570" s="16">
        <f t="shared" si="274"/>
        <v>4309.4838709677424</v>
      </c>
    </row>
    <row r="571" spans="1:30" x14ac:dyDescent="0.2">
      <c r="A571" s="10" t="s">
        <v>315</v>
      </c>
      <c r="B571" s="11" t="e">
        <f t="shared" si="271"/>
        <v>#REF!</v>
      </c>
      <c r="C571" s="11" t="s">
        <v>1181</v>
      </c>
      <c r="D571" s="11" t="s">
        <v>67</v>
      </c>
      <c r="F571" s="22">
        <v>43028</v>
      </c>
      <c r="G571" s="11">
        <v>12</v>
      </c>
      <c r="H571" s="13">
        <f t="shared" si="269"/>
        <v>1935.483870967742</v>
      </c>
      <c r="I571" s="13">
        <f t="shared" si="253"/>
        <v>0</v>
      </c>
      <c r="J571" s="13">
        <f t="shared" si="236"/>
        <v>96.774193548387103</v>
      </c>
      <c r="L571" s="13">
        <f t="shared" si="270"/>
        <v>309.67741935483866</v>
      </c>
      <c r="N571" s="13">
        <f t="shared" si="268"/>
        <v>1529.0322580645161</v>
      </c>
      <c r="O571" s="13">
        <v>0</v>
      </c>
      <c r="Q571" s="13">
        <f t="shared" si="249"/>
        <v>3870.9677419354839</v>
      </c>
      <c r="R571" s="12">
        <f t="shared" si="250"/>
        <v>232.25806451612902</v>
      </c>
      <c r="S571" s="12">
        <f t="shared" si="272"/>
        <v>68</v>
      </c>
      <c r="T571" s="21">
        <v>0</v>
      </c>
      <c r="U571" s="13">
        <v>0</v>
      </c>
      <c r="V571" s="13">
        <f t="shared" si="263"/>
        <v>300.25806451612902</v>
      </c>
      <c r="W571" s="13">
        <f t="shared" si="241"/>
        <v>3570.7096774193551</v>
      </c>
      <c r="Y571" s="13">
        <f t="shared" si="275"/>
        <v>3570.7096774193551</v>
      </c>
      <c r="Z571" s="12">
        <f t="shared" si="266"/>
        <v>254.51612903225808</v>
      </c>
      <c r="AA571" s="12">
        <f t="shared" si="273"/>
        <v>184</v>
      </c>
      <c r="AB571" s="1">
        <f t="shared" si="255"/>
        <v>0</v>
      </c>
      <c r="AC571" s="16">
        <f t="shared" si="267"/>
        <v>438.51612903225805</v>
      </c>
      <c r="AD571" s="16">
        <f t="shared" si="274"/>
        <v>4309.4838709677424</v>
      </c>
    </row>
    <row r="572" spans="1:30" x14ac:dyDescent="0.2">
      <c r="A572" s="10" t="s">
        <v>315</v>
      </c>
      <c r="B572" s="11" t="e">
        <f t="shared" si="271"/>
        <v>#REF!</v>
      </c>
      <c r="C572" s="11" t="s">
        <v>1182</v>
      </c>
      <c r="D572" s="11" t="s">
        <v>67</v>
      </c>
      <c r="F572" s="22">
        <v>43034</v>
      </c>
      <c r="G572" s="11">
        <v>6</v>
      </c>
      <c r="H572" s="13">
        <f t="shared" si="269"/>
        <v>967.74193548387098</v>
      </c>
      <c r="I572" s="13">
        <f t="shared" si="253"/>
        <v>0</v>
      </c>
      <c r="J572" s="13">
        <f t="shared" si="236"/>
        <v>48.387096774193552</v>
      </c>
      <c r="L572" s="13">
        <f t="shared" si="270"/>
        <v>154.83870967741933</v>
      </c>
      <c r="N572" s="13">
        <f t="shared" si="268"/>
        <v>764.51612903225805</v>
      </c>
      <c r="O572" s="13">
        <v>0</v>
      </c>
      <c r="Q572" s="13">
        <f t="shared" si="249"/>
        <v>1935.483870967742</v>
      </c>
      <c r="R572" s="12">
        <f t="shared" si="250"/>
        <v>116.12903225806451</v>
      </c>
      <c r="S572" s="12">
        <f t="shared" si="272"/>
        <v>34</v>
      </c>
      <c r="T572" s="21">
        <v>0</v>
      </c>
      <c r="U572" s="13">
        <v>0</v>
      </c>
      <c r="V572" s="13">
        <f t="shared" si="263"/>
        <v>150.12903225806451</v>
      </c>
      <c r="W572" s="13">
        <f t="shared" si="241"/>
        <v>1785.3548387096776</v>
      </c>
      <c r="Y572" s="13">
        <f t="shared" si="275"/>
        <v>1785.3548387096776</v>
      </c>
      <c r="Z572" s="12">
        <f t="shared" si="266"/>
        <v>127.25806451612904</v>
      </c>
      <c r="AA572" s="12">
        <f t="shared" si="273"/>
        <v>92</v>
      </c>
      <c r="AB572" s="1">
        <f t="shared" si="255"/>
        <v>0</v>
      </c>
      <c r="AC572" s="16">
        <f t="shared" si="267"/>
        <v>219.25806451612902</v>
      </c>
      <c r="AD572" s="16">
        <f t="shared" si="274"/>
        <v>2154.7419354838712</v>
      </c>
    </row>
    <row r="573" spans="1:30" x14ac:dyDescent="0.2">
      <c r="A573" s="10" t="s">
        <v>315</v>
      </c>
      <c r="B573" s="11" t="e">
        <f t="shared" si="271"/>
        <v>#REF!</v>
      </c>
      <c r="C573" s="11" t="s">
        <v>1183</v>
      </c>
      <c r="D573" s="11" t="s">
        <v>67</v>
      </c>
      <c r="F573" s="22">
        <v>43034</v>
      </c>
      <c r="G573" s="11">
        <v>6</v>
      </c>
      <c r="H573" s="13">
        <f t="shared" si="269"/>
        <v>967.74193548387098</v>
      </c>
      <c r="I573" s="13">
        <f t="shared" si="253"/>
        <v>0</v>
      </c>
      <c r="J573" s="13">
        <f t="shared" si="236"/>
        <v>48.387096774193552</v>
      </c>
      <c r="L573" s="13">
        <f t="shared" si="270"/>
        <v>154.83870967741933</v>
      </c>
      <c r="N573" s="13">
        <f t="shared" si="268"/>
        <v>764.51612903225805</v>
      </c>
      <c r="O573" s="13">
        <v>0</v>
      </c>
      <c r="Q573" s="13">
        <f t="shared" si="249"/>
        <v>1935.483870967742</v>
      </c>
      <c r="R573" s="12">
        <f t="shared" si="250"/>
        <v>116.12903225806451</v>
      </c>
      <c r="S573" s="12">
        <f t="shared" si="272"/>
        <v>34</v>
      </c>
      <c r="T573" s="21">
        <v>0</v>
      </c>
      <c r="U573" s="13">
        <v>0</v>
      </c>
      <c r="V573" s="13">
        <f t="shared" si="263"/>
        <v>150.12903225806451</v>
      </c>
      <c r="W573" s="13">
        <f t="shared" si="241"/>
        <v>1785.3548387096776</v>
      </c>
      <c r="Y573" s="13">
        <f t="shared" si="275"/>
        <v>1785.3548387096776</v>
      </c>
      <c r="Z573" s="12">
        <f t="shared" si="266"/>
        <v>127.25806451612904</v>
      </c>
      <c r="AA573" s="12">
        <f t="shared" si="273"/>
        <v>92</v>
      </c>
      <c r="AB573" s="1">
        <f t="shared" si="255"/>
        <v>0</v>
      </c>
      <c r="AC573" s="16">
        <f t="shared" si="267"/>
        <v>219.25806451612902</v>
      </c>
      <c r="AD573" s="16">
        <f t="shared" si="274"/>
        <v>2154.7419354838712</v>
      </c>
    </row>
    <row r="574" spans="1:30" x14ac:dyDescent="0.2">
      <c r="A574" s="10" t="s">
        <v>315</v>
      </c>
      <c r="B574" s="11" t="e">
        <f t="shared" si="271"/>
        <v>#REF!</v>
      </c>
      <c r="C574" s="11" t="s">
        <v>1184</v>
      </c>
      <c r="D574" s="11" t="s">
        <v>67</v>
      </c>
      <c r="F574" s="22">
        <v>43035</v>
      </c>
      <c r="G574" s="11">
        <v>5</v>
      </c>
      <c r="H574" s="13">
        <f t="shared" si="269"/>
        <v>806.45161290322574</v>
      </c>
      <c r="I574" s="13">
        <f t="shared" si="253"/>
        <v>0</v>
      </c>
      <c r="J574" s="13">
        <f t="shared" si="236"/>
        <v>40.322580645161288</v>
      </c>
      <c r="L574" s="13">
        <f t="shared" si="270"/>
        <v>129.03225806451613</v>
      </c>
      <c r="N574" s="13">
        <f t="shared" si="268"/>
        <v>637.09677419354841</v>
      </c>
      <c r="O574" s="13">
        <v>0</v>
      </c>
      <c r="Q574" s="13">
        <f t="shared" si="249"/>
        <v>1612.9032258064517</v>
      </c>
      <c r="R574" s="12">
        <f t="shared" si="250"/>
        <v>96.774193548387089</v>
      </c>
      <c r="S574" s="12">
        <f t="shared" si="272"/>
        <v>29</v>
      </c>
      <c r="T574" s="21">
        <v>0</v>
      </c>
      <c r="U574" s="13">
        <v>0</v>
      </c>
      <c r="V574" s="13">
        <f t="shared" si="263"/>
        <v>125.77419354838709</v>
      </c>
      <c r="W574" s="13">
        <f t="shared" si="241"/>
        <v>1487.1290322580646</v>
      </c>
      <c r="Y574" s="13">
        <f t="shared" si="275"/>
        <v>1487.1290322580646</v>
      </c>
      <c r="Z574" s="12">
        <f t="shared" si="266"/>
        <v>106.04838709677419</v>
      </c>
      <c r="AA574" s="12">
        <f t="shared" si="273"/>
        <v>77</v>
      </c>
      <c r="AB574" s="1">
        <f t="shared" si="255"/>
        <v>0</v>
      </c>
      <c r="AC574" s="16">
        <f t="shared" si="267"/>
        <v>183.04838709677421</v>
      </c>
      <c r="AD574" s="16">
        <f t="shared" si="274"/>
        <v>1795.9516129032259</v>
      </c>
    </row>
    <row r="575" spans="1:30" x14ac:dyDescent="0.2">
      <c r="A575" s="10"/>
      <c r="F575" s="22"/>
      <c r="R575" s="12"/>
      <c r="S575" s="12"/>
      <c r="T575" s="21"/>
      <c r="Z575" s="12"/>
      <c r="AA575" s="12"/>
      <c r="AB575" s="1"/>
      <c r="AC575" s="16"/>
      <c r="AD575" s="16"/>
    </row>
    <row r="576" spans="1:30" x14ac:dyDescent="0.2">
      <c r="A576" s="53"/>
      <c r="B576" s="17"/>
      <c r="C576" s="17" t="s">
        <v>16</v>
      </c>
      <c r="D576" s="17"/>
      <c r="E576" s="17"/>
      <c r="F576" s="54"/>
      <c r="G576" s="17">
        <f t="shared" ref="G576:AD576" si="276">SUM(G6:G574)</f>
        <v>13430</v>
      </c>
      <c r="H576" s="23">
        <f t="shared" si="276"/>
        <v>2169069.8924731179</v>
      </c>
      <c r="I576" s="23">
        <f t="shared" si="276"/>
        <v>0</v>
      </c>
      <c r="J576" s="23">
        <f t="shared" si="276"/>
        <v>108453.49462365611</v>
      </c>
      <c r="K576" s="23">
        <f t="shared" si="276"/>
        <v>0</v>
      </c>
      <c r="L576" s="23">
        <f t="shared" si="276"/>
        <v>348289.89247311873</v>
      </c>
      <c r="M576" s="23">
        <f t="shared" si="276"/>
        <v>0</v>
      </c>
      <c r="N576" s="23">
        <f t="shared" si="276"/>
        <v>2264178.454838708</v>
      </c>
      <c r="O576" s="23">
        <f t="shared" si="276"/>
        <v>30265.66559139785</v>
      </c>
      <c r="P576" s="23">
        <f t="shared" si="276"/>
        <v>74715</v>
      </c>
      <c r="Q576" s="23">
        <f t="shared" si="276"/>
        <v>4994972.4000000013</v>
      </c>
      <c r="R576" s="23">
        <f t="shared" si="276"/>
        <v>260288.38709677383</v>
      </c>
      <c r="S576" s="23">
        <f t="shared" si="276"/>
        <v>87247</v>
      </c>
      <c r="T576" s="23">
        <f t="shared" si="276"/>
        <v>23800</v>
      </c>
      <c r="U576" s="23">
        <f t="shared" si="276"/>
        <v>0</v>
      </c>
      <c r="V576" s="23">
        <f t="shared" si="276"/>
        <v>371335.38709677412</v>
      </c>
      <c r="W576" s="23">
        <f t="shared" si="276"/>
        <v>4623637.0129032237</v>
      </c>
      <c r="X576" s="23">
        <f t="shared" si="276"/>
        <v>87790.066666666666</v>
      </c>
      <c r="Y576" s="23">
        <f t="shared" si="276"/>
        <v>4535846.9462365592</v>
      </c>
      <c r="Z576" s="23">
        <f t="shared" si="276"/>
        <v>285232.69086021482</v>
      </c>
      <c r="AA576" s="23">
        <f t="shared" si="276"/>
        <v>236359</v>
      </c>
      <c r="AB576" s="23">
        <f t="shared" si="276"/>
        <v>0</v>
      </c>
      <c r="AC576" s="23">
        <f t="shared" si="276"/>
        <v>521591.69086021435</v>
      </c>
      <c r="AD576" s="23">
        <f t="shared" si="276"/>
        <v>5516564.0908602038</v>
      </c>
    </row>
    <row r="1048534" spans="3:3" x14ac:dyDescent="0.2">
      <c r="C1048534" s="11" t="str">
        <f>UPPER(C1048528)</f>
        <v/>
      </c>
    </row>
  </sheetData>
  <mergeCells count="3">
    <mergeCell ref="H4:N4"/>
    <mergeCell ref="R4:U4"/>
    <mergeCell ref="Z4:AB4"/>
  </mergeCells>
  <conditionalFormatting sqref="C391:C392">
    <cfRule type="duplicateValues" dxfId="856" priority="3"/>
  </conditionalFormatting>
  <conditionalFormatting sqref="C391:C392">
    <cfRule type="duplicateValues" dxfId="855" priority="1"/>
    <cfRule type="duplicateValues" dxfId="854" priority="2"/>
  </conditionalFormatting>
  <printOptions horizontalCentered="1" headings="1"/>
  <pageMargins left="0" right="0" top="0.35" bottom="0.23" header="0.2" footer="0.2"/>
  <pageSetup paperSize="9" scale="68" orientation="landscape" verticalDpi="0" r:id="rId1"/>
  <headerFooter>
    <oddHeader>&amp;C&amp;"-,Italic"Salary statement for the Month of Sept-17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038"/>
  <sheetViews>
    <sheetView topLeftCell="A6" workbookViewId="0">
      <selection activeCell="G6" sqref="G6"/>
    </sheetView>
  </sheetViews>
  <sheetFormatPr defaultRowHeight="12.75" x14ac:dyDescent="0.2"/>
  <cols>
    <col min="1" max="1" width="7" style="106" customWidth="1"/>
    <col min="2" max="2" width="5.7109375" style="106" bestFit="1" customWidth="1"/>
    <col min="3" max="3" width="32.28515625" style="106" customWidth="1"/>
    <col min="4" max="4" width="13.7109375" style="106" customWidth="1"/>
    <col min="5" max="5" width="14.7109375" style="106" bestFit="1" customWidth="1"/>
    <col min="6" max="6" width="10.7109375" style="106" bestFit="1" customWidth="1"/>
    <col min="7" max="7" width="8" style="106" customWidth="1"/>
    <col min="8" max="8" width="9.85546875" style="107" bestFit="1" customWidth="1"/>
    <col min="9" max="9" width="5.28515625" style="107" hidden="1" customWidth="1"/>
    <col min="10" max="10" width="8.5703125" style="107" customWidth="1"/>
    <col min="11" max="11" width="12.42578125" style="107" hidden="1" customWidth="1"/>
    <col min="12" max="12" width="9.85546875" style="107" bestFit="1" customWidth="1"/>
    <col min="13" max="13" width="13.5703125" style="107" hidden="1" customWidth="1"/>
    <col min="14" max="14" width="9.85546875" style="107" bestFit="1" customWidth="1"/>
    <col min="15" max="15" width="9.140625" style="107" hidden="1" customWidth="1"/>
    <col min="16" max="16" width="7.7109375" style="107" hidden="1" customWidth="1"/>
    <col min="17" max="17" width="8.7109375" style="107" customWidth="1"/>
    <col min="18" max="18" width="11.5703125" style="107" bestFit="1" customWidth="1"/>
    <col min="19" max="19" width="7.85546875" style="107" customWidth="1"/>
    <col min="20" max="20" width="8.5703125" style="107" customWidth="1"/>
    <col min="21" max="21" width="7.140625" style="107" customWidth="1"/>
    <col min="22" max="22" width="9.140625" style="107" hidden="1" customWidth="1"/>
    <col min="23" max="23" width="8.7109375" style="107" customWidth="1"/>
    <col min="24" max="24" width="9" style="107" customWidth="1"/>
    <col min="25" max="25" width="9.5703125" style="107" bestFit="1" customWidth="1"/>
    <col min="26" max="26" width="12.7109375" style="107" bestFit="1" customWidth="1"/>
    <col min="27" max="27" width="8.5703125" style="106" customWidth="1"/>
    <col min="28" max="28" width="9.28515625" style="106" customWidth="1"/>
    <col min="29" max="29" width="6.85546875" style="106" hidden="1" customWidth="1"/>
    <col min="30" max="30" width="8.42578125" style="106" customWidth="1"/>
    <col min="31" max="31" width="9.5703125" style="106" customWidth="1"/>
    <col min="32" max="16384" width="9.140625" style="106"/>
  </cols>
  <sheetData>
    <row r="1" spans="1:31" ht="13.5" x14ac:dyDescent="0.25">
      <c r="B1" s="105"/>
      <c r="C1" s="106" t="s">
        <v>24</v>
      </c>
    </row>
    <row r="2" spans="1:31" x14ac:dyDescent="0.2">
      <c r="B2" s="109"/>
      <c r="C2" s="106" t="s">
        <v>1655</v>
      </c>
    </row>
    <row r="3" spans="1:31" x14ac:dyDescent="0.2">
      <c r="G3" s="108">
        <v>31</v>
      </c>
    </row>
    <row r="4" spans="1:31" ht="15" customHeight="1" x14ac:dyDescent="0.25">
      <c r="A4" s="114" t="s">
        <v>28</v>
      </c>
      <c r="B4" s="115" t="s">
        <v>26</v>
      </c>
      <c r="C4" s="116" t="s">
        <v>0</v>
      </c>
      <c r="D4" s="116" t="s">
        <v>49</v>
      </c>
      <c r="E4" s="116" t="s">
        <v>2</v>
      </c>
      <c r="F4" s="117" t="s">
        <v>1</v>
      </c>
      <c r="G4" s="115" t="s">
        <v>3</v>
      </c>
      <c r="H4" s="160" t="s">
        <v>4</v>
      </c>
      <c r="I4" s="160"/>
      <c r="J4" s="160"/>
      <c r="K4" s="160"/>
      <c r="L4" s="160"/>
      <c r="M4" s="160"/>
      <c r="N4" s="160"/>
      <c r="O4" s="132"/>
      <c r="P4" s="132"/>
      <c r="Q4" s="132"/>
      <c r="R4" s="132" t="s">
        <v>5</v>
      </c>
      <c r="S4" s="160" t="s">
        <v>7</v>
      </c>
      <c r="T4" s="160"/>
      <c r="U4" s="160"/>
      <c r="V4" s="160"/>
      <c r="W4" s="132" t="s">
        <v>5</v>
      </c>
      <c r="X4" s="132" t="s">
        <v>8</v>
      </c>
      <c r="Y4" s="119" t="s">
        <v>21</v>
      </c>
      <c r="Z4" s="132" t="s">
        <v>20</v>
      </c>
      <c r="AA4" s="161" t="s">
        <v>9</v>
      </c>
      <c r="AB4" s="161"/>
      <c r="AC4" s="161"/>
      <c r="AD4" s="117" t="s">
        <v>5</v>
      </c>
      <c r="AE4" s="117" t="s">
        <v>10</v>
      </c>
    </row>
    <row r="5" spans="1:31" ht="13.5" x14ac:dyDescent="0.25">
      <c r="A5" s="114" t="s">
        <v>29</v>
      </c>
      <c r="B5" s="115" t="s">
        <v>27</v>
      </c>
      <c r="C5" s="116" t="s">
        <v>11</v>
      </c>
      <c r="D5" s="116"/>
      <c r="E5" s="116"/>
      <c r="F5" s="117"/>
      <c r="G5" s="114" t="s">
        <v>12</v>
      </c>
      <c r="H5" s="118" t="s">
        <v>13</v>
      </c>
      <c r="I5" s="118" t="s">
        <v>14</v>
      </c>
      <c r="J5" s="118" t="s">
        <v>15</v>
      </c>
      <c r="K5" s="115" t="s">
        <v>97</v>
      </c>
      <c r="L5" s="118" t="s">
        <v>6</v>
      </c>
      <c r="M5" s="115" t="s">
        <v>98</v>
      </c>
      <c r="N5" s="118" t="s">
        <v>22</v>
      </c>
      <c r="O5" s="115" t="s">
        <v>1656</v>
      </c>
      <c r="P5" s="115" t="s">
        <v>1417</v>
      </c>
      <c r="Q5" s="115" t="s">
        <v>1418</v>
      </c>
      <c r="R5" s="132" t="s">
        <v>16</v>
      </c>
      <c r="S5" s="132" t="s">
        <v>17</v>
      </c>
      <c r="T5" s="132" t="s">
        <v>18</v>
      </c>
      <c r="U5" s="132" t="s">
        <v>19</v>
      </c>
      <c r="V5" s="115" t="s">
        <v>31</v>
      </c>
      <c r="W5" s="132" t="s">
        <v>16</v>
      </c>
      <c r="X5" s="132" t="s">
        <v>20</v>
      </c>
      <c r="Y5" s="119" t="s">
        <v>1669</v>
      </c>
      <c r="Z5" s="132" t="s">
        <v>288</v>
      </c>
      <c r="AA5" s="117" t="s">
        <v>17</v>
      </c>
      <c r="AB5" s="117" t="s">
        <v>18</v>
      </c>
      <c r="AC5" s="120" t="s">
        <v>31</v>
      </c>
      <c r="AD5" s="120" t="s">
        <v>16</v>
      </c>
      <c r="AE5" s="120" t="s">
        <v>20</v>
      </c>
    </row>
    <row r="6" spans="1:31" x14ac:dyDescent="0.2">
      <c r="A6" s="64" t="s">
        <v>25</v>
      </c>
      <c r="B6" s="65">
        <v>1</v>
      </c>
      <c r="C6" s="65" t="s">
        <v>23</v>
      </c>
      <c r="D6" s="66" t="s">
        <v>51</v>
      </c>
      <c r="E6" s="65" t="s">
        <v>238</v>
      </c>
      <c r="F6" s="67">
        <v>42005</v>
      </c>
      <c r="G6" s="65">
        <v>22</v>
      </c>
      <c r="H6" s="68">
        <f t="shared" ref="H6:H69" si="0">(5000/G$3)*G6</f>
        <v>3548.3870967741932</v>
      </c>
      <c r="I6" s="68">
        <f>((0)/G$3)*G6</f>
        <v>0</v>
      </c>
      <c r="J6" s="68">
        <f t="shared" ref="J6:J69" si="1">(H6+I6)*5%</f>
        <v>177.41935483870967</v>
      </c>
      <c r="K6" s="68"/>
      <c r="L6" s="68">
        <f>((800)/G$3)*G6</f>
        <v>567.74193548387098</v>
      </c>
      <c r="M6" s="68"/>
      <c r="N6" s="68">
        <f>((4950+1200-36+1216+610)/G$3)*G6</f>
        <v>5634.8387096774195</v>
      </c>
      <c r="O6" s="68">
        <v>0</v>
      </c>
      <c r="P6" s="68">
        <v>0</v>
      </c>
      <c r="Q6" s="68">
        <v>0</v>
      </c>
      <c r="R6" s="68">
        <f>SUM(H6:Q6)</f>
        <v>9928.3870967741932</v>
      </c>
      <c r="S6" s="69">
        <f t="shared" ref="S6:S69" si="2">(H6+I6)*12%</f>
        <v>425.80645161290317</v>
      </c>
      <c r="T6" s="69">
        <f t="shared" ref="T6:T69" si="3">ROUNDUP((R6*1.75%),0)</f>
        <v>174</v>
      </c>
      <c r="U6" s="68">
        <f>+IF(R6&lt;2501,0,IF((R6&gt;2501)*(R6&lt;3500),0,IF((R6&gt;3501)*(R6&lt;7500),0,IF((R6&gt;7501)*(R6&lt;10000),175,200))))</f>
        <v>175</v>
      </c>
      <c r="V6" s="68">
        <v>0</v>
      </c>
      <c r="W6" s="68">
        <f t="shared" ref="W6:W69" si="4">SUM(S6:V6)</f>
        <v>774.80645161290317</v>
      </c>
      <c r="X6" s="68">
        <f t="shared" ref="X6:X69" si="5">R6-W6</f>
        <v>9153.5806451612898</v>
      </c>
      <c r="Y6" s="68">
        <v>0</v>
      </c>
      <c r="Z6" s="68">
        <f>X6-Y6</f>
        <v>9153.5806451612898</v>
      </c>
      <c r="AA6" s="69">
        <f t="shared" ref="AA6:AA69" si="6">(H6+I6)*13.15%</f>
        <v>466.61290322580641</v>
      </c>
      <c r="AB6" s="69">
        <f t="shared" ref="AB6:AB69" si="7">CEILING((R6)*4.75%,1)</f>
        <v>472</v>
      </c>
      <c r="AC6" s="70">
        <f t="shared" ref="AC6:AC69" si="8">V6*3</f>
        <v>0</v>
      </c>
      <c r="AD6" s="71">
        <f t="shared" ref="AD6:AD7" si="9">SUM(AA6:AC6)</f>
        <v>938.61290322580635</v>
      </c>
      <c r="AE6" s="71">
        <f t="shared" ref="AE6:AE69" si="10">R6+AD6</f>
        <v>10867</v>
      </c>
    </row>
    <row r="7" spans="1:31" x14ac:dyDescent="0.2">
      <c r="A7" s="64" t="s">
        <v>44</v>
      </c>
      <c r="B7" s="65">
        <f>B6+1</f>
        <v>2</v>
      </c>
      <c r="C7" s="65" t="s">
        <v>309</v>
      </c>
      <c r="D7" s="66" t="s">
        <v>51</v>
      </c>
      <c r="E7" s="65" t="s">
        <v>657</v>
      </c>
      <c r="F7" s="67">
        <v>42282</v>
      </c>
      <c r="G7" s="65">
        <v>32</v>
      </c>
      <c r="H7" s="68">
        <f t="shared" si="0"/>
        <v>5161.2903225806449</v>
      </c>
      <c r="I7" s="68">
        <f t="shared" ref="I7:I70" si="11">((0)/G$3)*G7</f>
        <v>0</v>
      </c>
      <c r="J7" s="68">
        <f t="shared" si="1"/>
        <v>258.06451612903226</v>
      </c>
      <c r="K7" s="68"/>
      <c r="L7" s="68">
        <f t="shared" ref="L7:L70" si="12">((800)/G$3)*G7</f>
        <v>825.80645161290317</v>
      </c>
      <c r="M7" s="68"/>
      <c r="N7" s="68">
        <f>((1950+1441+206+636+514)/G$3)*G7</f>
        <v>4900.1290322580644</v>
      </c>
      <c r="O7" s="68">
        <v>0</v>
      </c>
      <c r="P7" s="68">
        <v>0</v>
      </c>
      <c r="Q7" s="68">
        <v>0</v>
      </c>
      <c r="R7" s="68">
        <f t="shared" ref="R7:R66" si="13">SUM(H7:Q7)</f>
        <v>11145.290322580644</v>
      </c>
      <c r="S7" s="69">
        <f t="shared" si="2"/>
        <v>619.35483870967732</v>
      </c>
      <c r="T7" s="69">
        <f t="shared" si="3"/>
        <v>196</v>
      </c>
      <c r="U7" s="68">
        <f t="shared" ref="U7:U70" si="14">+IF(R7&lt;2501,0,IF((R7&gt;2501)*(R7&lt;3500),0,IF((R7&gt;3501)*(R7&lt;7500),0,IF((R7&gt;7501)*(R7&lt;10000),175,200))))</f>
        <v>200</v>
      </c>
      <c r="V7" s="68">
        <v>0</v>
      </c>
      <c r="W7" s="68">
        <f t="shared" si="4"/>
        <v>1015.3548387096773</v>
      </c>
      <c r="X7" s="68">
        <f t="shared" si="5"/>
        <v>10129.935483870966</v>
      </c>
      <c r="Y7" s="68">
        <v>0</v>
      </c>
      <c r="Z7" s="68">
        <f t="shared" ref="Z7:Z70" si="15">X7-Y7</f>
        <v>10129.935483870966</v>
      </c>
      <c r="AA7" s="69">
        <f t="shared" si="6"/>
        <v>678.70967741935488</v>
      </c>
      <c r="AB7" s="69">
        <f t="shared" si="7"/>
        <v>530</v>
      </c>
      <c r="AC7" s="70">
        <f t="shared" si="8"/>
        <v>0</v>
      </c>
      <c r="AD7" s="71">
        <f t="shared" si="9"/>
        <v>1208.7096774193549</v>
      </c>
      <c r="AE7" s="71">
        <f t="shared" si="10"/>
        <v>12353.999999999998</v>
      </c>
    </row>
    <row r="8" spans="1:31" x14ac:dyDescent="0.2">
      <c r="A8" s="64" t="s">
        <v>88</v>
      </c>
      <c r="B8" s="65">
        <f t="shared" ref="B8:B71" si="16">B7+1</f>
        <v>3</v>
      </c>
      <c r="C8" s="65" t="s">
        <v>68</v>
      </c>
      <c r="D8" s="65" t="s">
        <v>51</v>
      </c>
      <c r="E8" s="65" t="s">
        <v>657</v>
      </c>
      <c r="F8" s="67">
        <v>42508</v>
      </c>
      <c r="G8" s="65">
        <v>38</v>
      </c>
      <c r="H8" s="68">
        <f t="shared" si="0"/>
        <v>6129.0322580645161</v>
      </c>
      <c r="I8" s="68">
        <f t="shared" si="11"/>
        <v>0</v>
      </c>
      <c r="J8" s="68">
        <f t="shared" si="1"/>
        <v>306.45161290322579</v>
      </c>
      <c r="K8" s="68"/>
      <c r="L8" s="68">
        <f t="shared" si="12"/>
        <v>980.64516129032256</v>
      </c>
      <c r="M8" s="68"/>
      <c r="N8" s="68">
        <f>((1950+1000+611+769)/G$3)*G8</f>
        <v>5307.7419354838712</v>
      </c>
      <c r="O8" s="68">
        <v>0</v>
      </c>
      <c r="P8" s="68">
        <v>0</v>
      </c>
      <c r="Q8" s="68">
        <v>1000</v>
      </c>
      <c r="R8" s="68">
        <f t="shared" si="13"/>
        <v>13723.870967741936</v>
      </c>
      <c r="S8" s="69">
        <f t="shared" si="2"/>
        <v>735.48387096774195</v>
      </c>
      <c r="T8" s="69">
        <f t="shared" si="3"/>
        <v>241</v>
      </c>
      <c r="U8" s="68">
        <f t="shared" si="14"/>
        <v>200</v>
      </c>
      <c r="V8" s="68">
        <v>0</v>
      </c>
      <c r="W8" s="68">
        <f t="shared" si="4"/>
        <v>1176.483870967742</v>
      </c>
      <c r="X8" s="68">
        <f t="shared" si="5"/>
        <v>12547.387096774193</v>
      </c>
      <c r="Y8" s="68">
        <v>0</v>
      </c>
      <c r="Z8" s="68">
        <f t="shared" si="15"/>
        <v>12547.387096774193</v>
      </c>
      <c r="AA8" s="69">
        <f t="shared" si="6"/>
        <v>805.9677419354839</v>
      </c>
      <c r="AB8" s="69">
        <f t="shared" si="7"/>
        <v>652</v>
      </c>
      <c r="AC8" s="70">
        <f t="shared" si="8"/>
        <v>0</v>
      </c>
      <c r="AD8" s="71">
        <f t="shared" ref="AD8" si="17">SUM(AA8:AC8)</f>
        <v>1457.9677419354839</v>
      </c>
      <c r="AE8" s="71">
        <f t="shared" si="10"/>
        <v>15181.83870967742</v>
      </c>
    </row>
    <row r="9" spans="1:31" x14ac:dyDescent="0.2">
      <c r="A9" s="64" t="s">
        <v>99</v>
      </c>
      <c r="B9" s="65">
        <f t="shared" si="16"/>
        <v>4</v>
      </c>
      <c r="C9" s="65" t="s">
        <v>83</v>
      </c>
      <c r="D9" s="65" t="s">
        <v>51</v>
      </c>
      <c r="E9" s="65" t="s">
        <v>238</v>
      </c>
      <c r="F9" s="67">
        <v>42546</v>
      </c>
      <c r="G9" s="65">
        <v>35</v>
      </c>
      <c r="H9" s="68">
        <f t="shared" si="0"/>
        <v>5645.1612903225805</v>
      </c>
      <c r="I9" s="68">
        <f t="shared" si="11"/>
        <v>0</v>
      </c>
      <c r="J9" s="68">
        <f t="shared" si="1"/>
        <v>282.25806451612902</v>
      </c>
      <c r="K9" s="68"/>
      <c r="L9" s="68">
        <f t="shared" si="12"/>
        <v>903.22580645161281</v>
      </c>
      <c r="M9" s="68"/>
      <c r="N9" s="68">
        <f>((1950+1000+611+1383+880)/G$3)*G9</f>
        <v>6575.4838709677424</v>
      </c>
      <c r="O9" s="68">
        <v>0</v>
      </c>
      <c r="P9" s="68">
        <v>0</v>
      </c>
      <c r="Q9" s="68">
        <v>1065</v>
      </c>
      <c r="R9" s="68">
        <f t="shared" si="13"/>
        <v>14471.129032258064</v>
      </c>
      <c r="S9" s="69">
        <f t="shared" si="2"/>
        <v>677.41935483870964</v>
      </c>
      <c r="T9" s="69">
        <f t="shared" si="3"/>
        <v>254</v>
      </c>
      <c r="U9" s="68">
        <f t="shared" si="14"/>
        <v>200</v>
      </c>
      <c r="V9" s="68">
        <v>0</v>
      </c>
      <c r="W9" s="68">
        <f t="shared" si="4"/>
        <v>1131.4193548387098</v>
      </c>
      <c r="X9" s="68">
        <f t="shared" si="5"/>
        <v>13339.709677419354</v>
      </c>
      <c r="Y9" s="68">
        <v>0</v>
      </c>
      <c r="Z9" s="68">
        <f t="shared" si="15"/>
        <v>13339.709677419354</v>
      </c>
      <c r="AA9" s="69">
        <f t="shared" si="6"/>
        <v>742.33870967741939</v>
      </c>
      <c r="AB9" s="69">
        <f t="shared" si="7"/>
        <v>688</v>
      </c>
      <c r="AC9" s="70">
        <f t="shared" si="8"/>
        <v>0</v>
      </c>
      <c r="AD9" s="71">
        <f t="shared" ref="AD9" si="18">SUM(AA9:AC9)</f>
        <v>1430.3387096774195</v>
      </c>
      <c r="AE9" s="71">
        <f t="shared" si="10"/>
        <v>15901.467741935485</v>
      </c>
    </row>
    <row r="10" spans="1:31" x14ac:dyDescent="0.2">
      <c r="A10" s="64" t="s">
        <v>116</v>
      </c>
      <c r="B10" s="65">
        <f t="shared" si="16"/>
        <v>5</v>
      </c>
      <c r="C10" s="65" t="s">
        <v>96</v>
      </c>
      <c r="D10" s="65" t="s">
        <v>51</v>
      </c>
      <c r="E10" s="65" t="s">
        <v>581</v>
      </c>
      <c r="F10" s="67">
        <v>42576</v>
      </c>
      <c r="G10" s="65">
        <v>29</v>
      </c>
      <c r="H10" s="68">
        <f t="shared" si="0"/>
        <v>4677.4193548387093</v>
      </c>
      <c r="I10" s="68">
        <f t="shared" si="11"/>
        <v>0</v>
      </c>
      <c r="J10" s="68">
        <f t="shared" si="1"/>
        <v>233.87096774193549</v>
      </c>
      <c r="K10" s="68"/>
      <c r="L10" s="68">
        <f t="shared" si="12"/>
        <v>748.38709677419354</v>
      </c>
      <c r="M10" s="68"/>
      <c r="N10" s="68">
        <f>((1950+1000+611+1383+2199)/G$3)*G10</f>
        <v>6682.1612903225805</v>
      </c>
      <c r="O10" s="68">
        <v>0</v>
      </c>
      <c r="P10" s="68">
        <v>0</v>
      </c>
      <c r="Q10" s="68">
        <v>161</v>
      </c>
      <c r="R10" s="68">
        <f t="shared" si="13"/>
        <v>12502.838709677419</v>
      </c>
      <c r="S10" s="69">
        <f t="shared" si="2"/>
        <v>561.29032258064512</v>
      </c>
      <c r="T10" s="69">
        <f t="shared" si="3"/>
        <v>219</v>
      </c>
      <c r="U10" s="68">
        <f t="shared" si="14"/>
        <v>200</v>
      </c>
      <c r="V10" s="68">
        <v>0</v>
      </c>
      <c r="W10" s="68">
        <f t="shared" si="4"/>
        <v>980.29032258064512</v>
      </c>
      <c r="X10" s="68">
        <f t="shared" si="5"/>
        <v>11522.548387096773</v>
      </c>
      <c r="Y10" s="68">
        <v>0</v>
      </c>
      <c r="Z10" s="68">
        <f t="shared" si="15"/>
        <v>11522.548387096773</v>
      </c>
      <c r="AA10" s="69">
        <f t="shared" si="6"/>
        <v>615.08064516129025</v>
      </c>
      <c r="AB10" s="69">
        <f t="shared" si="7"/>
        <v>594</v>
      </c>
      <c r="AC10" s="70">
        <f t="shared" si="8"/>
        <v>0</v>
      </c>
      <c r="AD10" s="71">
        <f t="shared" ref="AD10" si="19">SUM(AA10:AC10)</f>
        <v>1209.0806451612902</v>
      </c>
      <c r="AE10" s="71">
        <f t="shared" si="10"/>
        <v>13711.919354838708</v>
      </c>
    </row>
    <row r="11" spans="1:31" x14ac:dyDescent="0.2">
      <c r="A11" s="64" t="s">
        <v>120</v>
      </c>
      <c r="B11" s="65">
        <f t="shared" si="16"/>
        <v>6</v>
      </c>
      <c r="C11" s="65" t="s">
        <v>106</v>
      </c>
      <c r="D11" s="65" t="s">
        <v>51</v>
      </c>
      <c r="E11" s="65" t="s">
        <v>238</v>
      </c>
      <c r="F11" s="67">
        <v>42583</v>
      </c>
      <c r="G11" s="65">
        <v>34</v>
      </c>
      <c r="H11" s="68">
        <f t="shared" si="0"/>
        <v>5483.8709677419356</v>
      </c>
      <c r="I11" s="68">
        <f t="shared" si="11"/>
        <v>0</v>
      </c>
      <c r="J11" s="68">
        <f t="shared" si="1"/>
        <v>274.19354838709677</v>
      </c>
      <c r="K11" s="68"/>
      <c r="L11" s="68">
        <f t="shared" si="12"/>
        <v>877.41935483870964</v>
      </c>
      <c r="M11" s="68"/>
      <c r="N11" s="68">
        <f>((1950+1000+611+1383+1099)/G$3)*G11</f>
        <v>6627.8064516129034</v>
      </c>
      <c r="O11" s="68">
        <v>0</v>
      </c>
      <c r="P11" s="68">
        <v>0</v>
      </c>
      <c r="Q11" s="68">
        <v>129</v>
      </c>
      <c r="R11" s="68">
        <f t="shared" si="13"/>
        <v>13392.290322580644</v>
      </c>
      <c r="S11" s="69">
        <f t="shared" si="2"/>
        <v>658.0645161290322</v>
      </c>
      <c r="T11" s="69">
        <f t="shared" si="3"/>
        <v>235</v>
      </c>
      <c r="U11" s="68">
        <f t="shared" si="14"/>
        <v>200</v>
      </c>
      <c r="V11" s="68">
        <v>0</v>
      </c>
      <c r="W11" s="68">
        <f t="shared" si="4"/>
        <v>1093.0645161290322</v>
      </c>
      <c r="X11" s="68">
        <f t="shared" si="5"/>
        <v>12299.225806451612</v>
      </c>
      <c r="Y11" s="68">
        <v>0</v>
      </c>
      <c r="Z11" s="68">
        <f t="shared" si="15"/>
        <v>12299.225806451612</v>
      </c>
      <c r="AA11" s="69">
        <f t="shared" si="6"/>
        <v>721.12903225806451</v>
      </c>
      <c r="AB11" s="69">
        <f t="shared" si="7"/>
        <v>637</v>
      </c>
      <c r="AC11" s="70">
        <f t="shared" si="8"/>
        <v>0</v>
      </c>
      <c r="AD11" s="71">
        <f t="shared" ref="AD11:AD12" si="20">SUM(AA11:AC11)</f>
        <v>1358.1290322580644</v>
      </c>
      <c r="AE11" s="71">
        <f t="shared" si="10"/>
        <v>14750.419354838708</v>
      </c>
    </row>
    <row r="12" spans="1:31" x14ac:dyDescent="0.2">
      <c r="A12" s="64" t="s">
        <v>121</v>
      </c>
      <c r="B12" s="65">
        <f t="shared" si="16"/>
        <v>7</v>
      </c>
      <c r="C12" s="65" t="s">
        <v>107</v>
      </c>
      <c r="D12" s="65" t="s">
        <v>51</v>
      </c>
      <c r="E12" s="65" t="s">
        <v>658</v>
      </c>
      <c r="F12" s="67">
        <v>42583</v>
      </c>
      <c r="G12" s="65">
        <v>36</v>
      </c>
      <c r="H12" s="68">
        <f t="shared" si="0"/>
        <v>5806.4516129032254</v>
      </c>
      <c r="I12" s="68">
        <f t="shared" si="11"/>
        <v>0</v>
      </c>
      <c r="J12" s="68">
        <f t="shared" si="1"/>
        <v>290.32258064516128</v>
      </c>
      <c r="K12" s="68"/>
      <c r="L12" s="68">
        <f t="shared" si="12"/>
        <v>929.0322580645161</v>
      </c>
      <c r="M12" s="68"/>
      <c r="N12" s="68">
        <f>((1950+1000+611+1383+1099)/G$3)*G12</f>
        <v>7017.677419354839</v>
      </c>
      <c r="O12" s="68">
        <v>0</v>
      </c>
      <c r="P12" s="68">
        <v>0</v>
      </c>
      <c r="Q12" s="68">
        <v>1000</v>
      </c>
      <c r="R12" s="68">
        <f t="shared" si="13"/>
        <v>15043.483870967742</v>
      </c>
      <c r="S12" s="69">
        <f t="shared" si="2"/>
        <v>696.77419354838707</v>
      </c>
      <c r="T12" s="69">
        <f t="shared" si="3"/>
        <v>264</v>
      </c>
      <c r="U12" s="68">
        <f t="shared" si="14"/>
        <v>200</v>
      </c>
      <c r="V12" s="68">
        <v>0</v>
      </c>
      <c r="W12" s="68">
        <f t="shared" si="4"/>
        <v>1160.7741935483871</v>
      </c>
      <c r="X12" s="68">
        <f t="shared" si="5"/>
        <v>13882.709677419356</v>
      </c>
      <c r="Y12" s="68">
        <v>0</v>
      </c>
      <c r="Z12" s="68">
        <f t="shared" si="15"/>
        <v>13882.709677419356</v>
      </c>
      <c r="AA12" s="69">
        <f t="shared" si="6"/>
        <v>763.54838709677415</v>
      </c>
      <c r="AB12" s="69">
        <f t="shared" si="7"/>
        <v>715</v>
      </c>
      <c r="AC12" s="70">
        <f t="shared" si="8"/>
        <v>0</v>
      </c>
      <c r="AD12" s="71">
        <f t="shared" si="20"/>
        <v>1478.5483870967741</v>
      </c>
      <c r="AE12" s="71">
        <f t="shared" si="10"/>
        <v>16522.032258064515</v>
      </c>
    </row>
    <row r="13" spans="1:31" x14ac:dyDescent="0.2">
      <c r="A13" s="64" t="s">
        <v>122</v>
      </c>
      <c r="B13" s="65">
        <f t="shared" si="16"/>
        <v>8</v>
      </c>
      <c r="C13" s="65" t="s">
        <v>108</v>
      </c>
      <c r="D13" s="65" t="s">
        <v>51</v>
      </c>
      <c r="E13" s="65" t="s">
        <v>659</v>
      </c>
      <c r="F13" s="67">
        <v>42586</v>
      </c>
      <c r="G13" s="65">
        <v>37</v>
      </c>
      <c r="H13" s="68">
        <f t="shared" si="0"/>
        <v>5967.7419354838703</v>
      </c>
      <c r="I13" s="68">
        <f t="shared" si="11"/>
        <v>0</v>
      </c>
      <c r="J13" s="68">
        <f t="shared" si="1"/>
        <v>298.38709677419354</v>
      </c>
      <c r="K13" s="68"/>
      <c r="L13" s="68">
        <f t="shared" si="12"/>
        <v>954.83870967741927</v>
      </c>
      <c r="M13" s="68"/>
      <c r="N13" s="68">
        <f>((1950+1000+611+1383+880)/G$3)*G13</f>
        <v>6951.2258064516127</v>
      </c>
      <c r="O13" s="68">
        <v>0</v>
      </c>
      <c r="P13" s="68">
        <v>0</v>
      </c>
      <c r="Q13" s="68">
        <v>1000</v>
      </c>
      <c r="R13" s="68">
        <f t="shared" si="13"/>
        <v>15172.193548387095</v>
      </c>
      <c r="S13" s="69">
        <f t="shared" si="2"/>
        <v>716.1290322580644</v>
      </c>
      <c r="T13" s="69">
        <f t="shared" si="3"/>
        <v>266</v>
      </c>
      <c r="U13" s="68">
        <f t="shared" si="14"/>
        <v>200</v>
      </c>
      <c r="V13" s="68">
        <v>0</v>
      </c>
      <c r="W13" s="68">
        <f t="shared" si="4"/>
        <v>1182.1290322580644</v>
      </c>
      <c r="X13" s="68">
        <f t="shared" si="5"/>
        <v>13990.06451612903</v>
      </c>
      <c r="Y13" s="68">
        <v>1000</v>
      </c>
      <c r="Z13" s="68">
        <f t="shared" si="15"/>
        <v>12990.06451612903</v>
      </c>
      <c r="AA13" s="69">
        <f t="shared" si="6"/>
        <v>784.75806451612902</v>
      </c>
      <c r="AB13" s="69">
        <f t="shared" si="7"/>
        <v>721</v>
      </c>
      <c r="AC13" s="70">
        <f t="shared" si="8"/>
        <v>0</v>
      </c>
      <c r="AD13" s="71">
        <f t="shared" ref="AD13" si="21">SUM(AA13:AC13)</f>
        <v>1505.758064516129</v>
      </c>
      <c r="AE13" s="71">
        <f t="shared" si="10"/>
        <v>16677.951612903224</v>
      </c>
    </row>
    <row r="14" spans="1:31" x14ac:dyDescent="0.2">
      <c r="A14" s="64" t="s">
        <v>125</v>
      </c>
      <c r="B14" s="65">
        <f t="shared" si="16"/>
        <v>9</v>
      </c>
      <c r="C14" s="65" t="s">
        <v>111</v>
      </c>
      <c r="D14" s="65" t="s">
        <v>51</v>
      </c>
      <c r="E14" s="65" t="s">
        <v>236</v>
      </c>
      <c r="F14" s="67">
        <v>42601</v>
      </c>
      <c r="G14" s="65">
        <v>37</v>
      </c>
      <c r="H14" s="68">
        <f t="shared" si="0"/>
        <v>5967.7419354838703</v>
      </c>
      <c r="I14" s="68">
        <f t="shared" si="11"/>
        <v>0</v>
      </c>
      <c r="J14" s="68">
        <f t="shared" si="1"/>
        <v>298.38709677419354</v>
      </c>
      <c r="K14" s="68"/>
      <c r="L14" s="68">
        <f t="shared" si="12"/>
        <v>954.83870967741927</v>
      </c>
      <c r="M14" s="68"/>
      <c r="N14" s="68">
        <f>((3950+611+849)/G$3)*G14</f>
        <v>6457.0967741935492</v>
      </c>
      <c r="O14" s="68">
        <v>0</v>
      </c>
      <c r="P14" s="68">
        <v>0</v>
      </c>
      <c r="Q14" s="68">
        <v>1000</v>
      </c>
      <c r="R14" s="68">
        <f t="shared" si="13"/>
        <v>14678.064516129032</v>
      </c>
      <c r="S14" s="69">
        <f t="shared" si="2"/>
        <v>716.1290322580644</v>
      </c>
      <c r="T14" s="69">
        <f t="shared" si="3"/>
        <v>257</v>
      </c>
      <c r="U14" s="68">
        <f t="shared" si="14"/>
        <v>200</v>
      </c>
      <c r="V14" s="68">
        <v>0</v>
      </c>
      <c r="W14" s="68">
        <f t="shared" si="4"/>
        <v>1173.1290322580644</v>
      </c>
      <c r="X14" s="68">
        <f t="shared" si="5"/>
        <v>13504.935483870968</v>
      </c>
      <c r="Y14" s="68">
        <v>0</v>
      </c>
      <c r="Z14" s="68">
        <f t="shared" si="15"/>
        <v>13504.935483870968</v>
      </c>
      <c r="AA14" s="69">
        <f t="shared" si="6"/>
        <v>784.75806451612902</v>
      </c>
      <c r="AB14" s="69">
        <f t="shared" si="7"/>
        <v>698</v>
      </c>
      <c r="AC14" s="70">
        <f t="shared" si="8"/>
        <v>0</v>
      </c>
      <c r="AD14" s="71">
        <f t="shared" ref="AD14:AD16" si="22">SUM(AA14:AC14)</f>
        <v>1482.758064516129</v>
      </c>
      <c r="AE14" s="71">
        <f t="shared" si="10"/>
        <v>16160.822580645161</v>
      </c>
    </row>
    <row r="15" spans="1:31" x14ac:dyDescent="0.2">
      <c r="A15" s="64" t="s">
        <v>126</v>
      </c>
      <c r="B15" s="65">
        <f t="shared" si="16"/>
        <v>10</v>
      </c>
      <c r="C15" s="65" t="s">
        <v>112</v>
      </c>
      <c r="D15" s="65" t="s">
        <v>51</v>
      </c>
      <c r="E15" s="65" t="s">
        <v>236</v>
      </c>
      <c r="F15" s="67">
        <v>42601</v>
      </c>
      <c r="G15" s="65">
        <v>31</v>
      </c>
      <c r="H15" s="68">
        <f t="shared" si="0"/>
        <v>5000</v>
      </c>
      <c r="I15" s="68">
        <f t="shared" si="11"/>
        <v>0</v>
      </c>
      <c r="J15" s="68">
        <f t="shared" si="1"/>
        <v>250</v>
      </c>
      <c r="K15" s="68"/>
      <c r="L15" s="68">
        <f t="shared" si="12"/>
        <v>800</v>
      </c>
      <c r="M15" s="68"/>
      <c r="N15" s="68">
        <f>((3950+611+849)/G$3)*G15</f>
        <v>5410</v>
      </c>
      <c r="O15" s="68">
        <v>0</v>
      </c>
      <c r="P15" s="68">
        <v>0</v>
      </c>
      <c r="Q15" s="68">
        <v>0</v>
      </c>
      <c r="R15" s="68">
        <f t="shared" si="13"/>
        <v>11460</v>
      </c>
      <c r="S15" s="69">
        <f t="shared" si="2"/>
        <v>600</v>
      </c>
      <c r="T15" s="69">
        <f t="shared" si="3"/>
        <v>201</v>
      </c>
      <c r="U15" s="68">
        <f t="shared" si="14"/>
        <v>200</v>
      </c>
      <c r="V15" s="68">
        <v>0</v>
      </c>
      <c r="W15" s="68">
        <f t="shared" si="4"/>
        <v>1001</v>
      </c>
      <c r="X15" s="68">
        <f t="shared" si="5"/>
        <v>10459</v>
      </c>
      <c r="Y15" s="68">
        <v>0</v>
      </c>
      <c r="Z15" s="68">
        <f t="shared" si="15"/>
        <v>10459</v>
      </c>
      <c r="AA15" s="69">
        <f t="shared" si="6"/>
        <v>657.5</v>
      </c>
      <c r="AB15" s="69">
        <f t="shared" si="7"/>
        <v>545</v>
      </c>
      <c r="AC15" s="70">
        <f t="shared" si="8"/>
        <v>0</v>
      </c>
      <c r="AD15" s="71">
        <f t="shared" si="22"/>
        <v>1202.5</v>
      </c>
      <c r="AE15" s="71">
        <f t="shared" si="10"/>
        <v>12662.5</v>
      </c>
    </row>
    <row r="16" spans="1:31" x14ac:dyDescent="0.2">
      <c r="A16" s="64" t="s">
        <v>158</v>
      </c>
      <c r="B16" s="65">
        <f t="shared" si="16"/>
        <v>11</v>
      </c>
      <c r="C16" s="65" t="s">
        <v>134</v>
      </c>
      <c r="D16" s="65" t="s">
        <v>51</v>
      </c>
      <c r="E16" s="65" t="s">
        <v>660</v>
      </c>
      <c r="F16" s="67">
        <v>42697</v>
      </c>
      <c r="G16" s="65">
        <v>33</v>
      </c>
      <c r="H16" s="68">
        <f t="shared" si="0"/>
        <v>5322.5806451612898</v>
      </c>
      <c r="I16" s="68">
        <f t="shared" si="11"/>
        <v>0</v>
      </c>
      <c r="J16" s="68">
        <f t="shared" si="1"/>
        <v>266.12903225806451</v>
      </c>
      <c r="K16" s="68"/>
      <c r="L16" s="68">
        <f t="shared" si="12"/>
        <v>851.61290322580635</v>
      </c>
      <c r="M16" s="68"/>
      <c r="N16" s="68">
        <f>((2950+5000+611)/G$3)*G16</f>
        <v>9113.3225806451628</v>
      </c>
      <c r="O16" s="68">
        <v>0</v>
      </c>
      <c r="P16" s="68">
        <v>0</v>
      </c>
      <c r="Q16" s="68">
        <v>0</v>
      </c>
      <c r="R16" s="68">
        <f t="shared" si="13"/>
        <v>15553.645161290324</v>
      </c>
      <c r="S16" s="69">
        <f t="shared" si="2"/>
        <v>638.70967741935476</v>
      </c>
      <c r="T16" s="69">
        <f t="shared" si="3"/>
        <v>273</v>
      </c>
      <c r="U16" s="68">
        <f t="shared" si="14"/>
        <v>200</v>
      </c>
      <c r="V16" s="68">
        <v>0</v>
      </c>
      <c r="W16" s="68">
        <f t="shared" si="4"/>
        <v>1111.7096774193546</v>
      </c>
      <c r="X16" s="68">
        <f t="shared" si="5"/>
        <v>14441.93548387097</v>
      </c>
      <c r="Y16" s="68">
        <v>0</v>
      </c>
      <c r="Z16" s="68">
        <f t="shared" si="15"/>
        <v>14441.93548387097</v>
      </c>
      <c r="AA16" s="69">
        <f t="shared" si="6"/>
        <v>699.91935483870964</v>
      </c>
      <c r="AB16" s="69">
        <f t="shared" si="7"/>
        <v>739</v>
      </c>
      <c r="AC16" s="70">
        <f t="shared" si="8"/>
        <v>0</v>
      </c>
      <c r="AD16" s="71">
        <f t="shared" si="22"/>
        <v>1438.9193548387098</v>
      </c>
      <c r="AE16" s="71">
        <f t="shared" si="10"/>
        <v>16992.564516129034</v>
      </c>
    </row>
    <row r="17" spans="1:31" x14ac:dyDescent="0.2">
      <c r="A17" s="64" t="s">
        <v>177</v>
      </c>
      <c r="B17" s="65">
        <f t="shared" si="16"/>
        <v>12</v>
      </c>
      <c r="C17" s="65" t="s">
        <v>145</v>
      </c>
      <c r="D17" s="65" t="s">
        <v>51</v>
      </c>
      <c r="E17" s="65" t="s">
        <v>658</v>
      </c>
      <c r="F17" s="67">
        <v>42705</v>
      </c>
      <c r="G17" s="65">
        <v>34</v>
      </c>
      <c r="H17" s="68">
        <f t="shared" si="0"/>
        <v>5483.8709677419356</v>
      </c>
      <c r="I17" s="68">
        <f t="shared" si="11"/>
        <v>0</v>
      </c>
      <c r="J17" s="68">
        <f t="shared" si="1"/>
        <v>274.19354838709677</v>
      </c>
      <c r="K17" s="68"/>
      <c r="L17" s="68">
        <f t="shared" si="12"/>
        <v>877.41935483870964</v>
      </c>
      <c r="M17" s="68"/>
      <c r="N17" s="68">
        <f>((1950+1000+611+1383)/G$3)*G17</f>
        <v>5422.4516129032254</v>
      </c>
      <c r="O17" s="68">
        <v>0</v>
      </c>
      <c r="P17" s="68">
        <v>0</v>
      </c>
      <c r="Q17" s="68">
        <v>1000</v>
      </c>
      <c r="R17" s="68">
        <f t="shared" si="13"/>
        <v>13057.935483870966</v>
      </c>
      <c r="S17" s="69">
        <f t="shared" si="2"/>
        <v>658.0645161290322</v>
      </c>
      <c r="T17" s="69">
        <f t="shared" si="3"/>
        <v>229</v>
      </c>
      <c r="U17" s="68">
        <f t="shared" si="14"/>
        <v>200</v>
      </c>
      <c r="V17" s="68">
        <v>0</v>
      </c>
      <c r="W17" s="68">
        <f t="shared" si="4"/>
        <v>1087.0645161290322</v>
      </c>
      <c r="X17" s="68">
        <f t="shared" si="5"/>
        <v>11970.870967741934</v>
      </c>
      <c r="Y17" s="68">
        <v>0</v>
      </c>
      <c r="Z17" s="68">
        <f t="shared" si="15"/>
        <v>11970.870967741934</v>
      </c>
      <c r="AA17" s="69">
        <f t="shared" si="6"/>
        <v>721.12903225806451</v>
      </c>
      <c r="AB17" s="69">
        <f t="shared" si="7"/>
        <v>621</v>
      </c>
      <c r="AC17" s="70">
        <f t="shared" si="8"/>
        <v>0</v>
      </c>
      <c r="AD17" s="71">
        <f t="shared" ref="AD17:AD32" si="23">SUM(AA17:AC17)</f>
        <v>1342.1290322580644</v>
      </c>
      <c r="AE17" s="71">
        <f t="shared" si="10"/>
        <v>14400.06451612903</v>
      </c>
    </row>
    <row r="18" spans="1:31" x14ac:dyDescent="0.2">
      <c r="A18" s="64" t="s">
        <v>180</v>
      </c>
      <c r="B18" s="65">
        <f t="shared" si="16"/>
        <v>13</v>
      </c>
      <c r="C18" s="65" t="s">
        <v>148</v>
      </c>
      <c r="D18" s="65" t="s">
        <v>51</v>
      </c>
      <c r="E18" s="65" t="s">
        <v>581</v>
      </c>
      <c r="F18" s="67">
        <v>42729</v>
      </c>
      <c r="G18" s="65">
        <v>34</v>
      </c>
      <c r="H18" s="68">
        <f t="shared" si="0"/>
        <v>5483.8709677419356</v>
      </c>
      <c r="I18" s="68">
        <f t="shared" si="11"/>
        <v>0</v>
      </c>
      <c r="J18" s="68">
        <f t="shared" si="1"/>
        <v>274.19354838709677</v>
      </c>
      <c r="K18" s="68"/>
      <c r="L18" s="68">
        <f t="shared" si="12"/>
        <v>877.41935483870964</v>
      </c>
      <c r="M18" s="68"/>
      <c r="N18" s="68">
        <f>((2950+2000+611)/G$3)*G18</f>
        <v>6099.1612903225805</v>
      </c>
      <c r="O18" s="68">
        <v>0</v>
      </c>
      <c r="P18" s="68">
        <v>0</v>
      </c>
      <c r="Q18" s="68">
        <v>1177</v>
      </c>
      <c r="R18" s="68">
        <f t="shared" si="13"/>
        <v>13911.645161290322</v>
      </c>
      <c r="S18" s="69">
        <f t="shared" si="2"/>
        <v>658.0645161290322</v>
      </c>
      <c r="T18" s="69">
        <f t="shared" si="3"/>
        <v>244</v>
      </c>
      <c r="U18" s="68">
        <f t="shared" si="14"/>
        <v>200</v>
      </c>
      <c r="V18" s="68">
        <v>0</v>
      </c>
      <c r="W18" s="68">
        <f t="shared" si="4"/>
        <v>1102.0645161290322</v>
      </c>
      <c r="X18" s="68">
        <f t="shared" si="5"/>
        <v>12809.58064516129</v>
      </c>
      <c r="Y18" s="68">
        <v>0</v>
      </c>
      <c r="Z18" s="68">
        <f t="shared" si="15"/>
        <v>12809.58064516129</v>
      </c>
      <c r="AA18" s="69">
        <f t="shared" si="6"/>
        <v>721.12903225806451</v>
      </c>
      <c r="AB18" s="69">
        <f t="shared" si="7"/>
        <v>661</v>
      </c>
      <c r="AC18" s="70">
        <f t="shared" si="8"/>
        <v>0</v>
      </c>
      <c r="AD18" s="71">
        <f t="shared" si="23"/>
        <v>1382.1290322580644</v>
      </c>
      <c r="AE18" s="71">
        <f t="shared" si="10"/>
        <v>15293.774193548386</v>
      </c>
    </row>
    <row r="19" spans="1:31" x14ac:dyDescent="0.2">
      <c r="A19" s="64" t="s">
        <v>194</v>
      </c>
      <c r="B19" s="65">
        <f t="shared" si="16"/>
        <v>14</v>
      </c>
      <c r="C19" s="65" t="s">
        <v>171</v>
      </c>
      <c r="D19" s="65" t="s">
        <v>51</v>
      </c>
      <c r="E19" s="65" t="s">
        <v>658</v>
      </c>
      <c r="F19" s="67">
        <v>42739</v>
      </c>
      <c r="G19" s="65">
        <v>31</v>
      </c>
      <c r="H19" s="68">
        <f t="shared" si="0"/>
        <v>5000</v>
      </c>
      <c r="I19" s="68">
        <f t="shared" si="11"/>
        <v>0</v>
      </c>
      <c r="J19" s="68">
        <f t="shared" si="1"/>
        <v>250</v>
      </c>
      <c r="K19" s="68"/>
      <c r="L19" s="68">
        <f t="shared" si="12"/>
        <v>800</v>
      </c>
      <c r="M19" s="68"/>
      <c r="N19" s="68">
        <f>((1950+1000+611+1383)/G$3)*G19</f>
        <v>4944</v>
      </c>
      <c r="O19" s="68">
        <v>0</v>
      </c>
      <c r="P19" s="68">
        <v>0</v>
      </c>
      <c r="Q19" s="68">
        <v>0</v>
      </c>
      <c r="R19" s="68">
        <f t="shared" si="13"/>
        <v>10994</v>
      </c>
      <c r="S19" s="69">
        <f t="shared" si="2"/>
        <v>600</v>
      </c>
      <c r="T19" s="69">
        <f t="shared" si="3"/>
        <v>193</v>
      </c>
      <c r="U19" s="68">
        <f t="shared" si="14"/>
        <v>200</v>
      </c>
      <c r="V19" s="68">
        <v>0</v>
      </c>
      <c r="W19" s="68">
        <f t="shared" si="4"/>
        <v>993</v>
      </c>
      <c r="X19" s="68">
        <f t="shared" si="5"/>
        <v>10001</v>
      </c>
      <c r="Y19" s="68">
        <v>0</v>
      </c>
      <c r="Z19" s="68">
        <f t="shared" si="15"/>
        <v>10001</v>
      </c>
      <c r="AA19" s="69">
        <f t="shared" si="6"/>
        <v>657.5</v>
      </c>
      <c r="AB19" s="69">
        <f t="shared" si="7"/>
        <v>523</v>
      </c>
      <c r="AC19" s="70">
        <f t="shared" si="8"/>
        <v>0</v>
      </c>
      <c r="AD19" s="71">
        <f t="shared" si="23"/>
        <v>1180.5</v>
      </c>
      <c r="AE19" s="71">
        <f t="shared" si="10"/>
        <v>12174.5</v>
      </c>
    </row>
    <row r="20" spans="1:31" x14ac:dyDescent="0.2">
      <c r="A20" s="64" t="s">
        <v>195</v>
      </c>
      <c r="B20" s="65">
        <f t="shared" si="16"/>
        <v>15</v>
      </c>
      <c r="C20" s="65" t="s">
        <v>172</v>
      </c>
      <c r="D20" s="65" t="s">
        <v>51</v>
      </c>
      <c r="E20" s="65" t="s">
        <v>236</v>
      </c>
      <c r="F20" s="67">
        <v>42739</v>
      </c>
      <c r="G20" s="65">
        <v>34</v>
      </c>
      <c r="H20" s="68">
        <f t="shared" si="0"/>
        <v>5483.8709677419356</v>
      </c>
      <c r="I20" s="68">
        <f t="shared" si="11"/>
        <v>0</v>
      </c>
      <c r="J20" s="68">
        <f t="shared" si="1"/>
        <v>274.19354838709677</v>
      </c>
      <c r="K20" s="68"/>
      <c r="L20" s="68">
        <f t="shared" si="12"/>
        <v>877.41935483870964</v>
      </c>
      <c r="M20" s="68"/>
      <c r="N20" s="68">
        <f t="shared" ref="N20:N21" si="24">((2950)/G$3)*G20</f>
        <v>3235.483870967742</v>
      </c>
      <c r="O20" s="68">
        <v>0</v>
      </c>
      <c r="P20" s="68">
        <v>0</v>
      </c>
      <c r="Q20" s="68">
        <v>0</v>
      </c>
      <c r="R20" s="68">
        <f t="shared" si="13"/>
        <v>9870.967741935483</v>
      </c>
      <c r="S20" s="69">
        <f t="shared" si="2"/>
        <v>658.0645161290322</v>
      </c>
      <c r="T20" s="69">
        <f t="shared" si="3"/>
        <v>173</v>
      </c>
      <c r="U20" s="68">
        <f t="shared" si="14"/>
        <v>175</v>
      </c>
      <c r="V20" s="68">
        <v>0</v>
      </c>
      <c r="W20" s="68">
        <f t="shared" si="4"/>
        <v>1006.0645161290322</v>
      </c>
      <c r="X20" s="68">
        <f t="shared" si="5"/>
        <v>8864.9032258064508</v>
      </c>
      <c r="Y20" s="68">
        <v>0</v>
      </c>
      <c r="Z20" s="68">
        <f t="shared" si="15"/>
        <v>8864.9032258064508</v>
      </c>
      <c r="AA20" s="69">
        <f t="shared" si="6"/>
        <v>721.12903225806451</v>
      </c>
      <c r="AB20" s="69">
        <f t="shared" si="7"/>
        <v>469</v>
      </c>
      <c r="AC20" s="70">
        <f t="shared" si="8"/>
        <v>0</v>
      </c>
      <c r="AD20" s="71">
        <f t="shared" si="23"/>
        <v>1190.1290322580644</v>
      </c>
      <c r="AE20" s="71">
        <f t="shared" si="10"/>
        <v>11061.096774193547</v>
      </c>
    </row>
    <row r="21" spans="1:31" x14ac:dyDescent="0.2">
      <c r="A21" s="64" t="s">
        <v>196</v>
      </c>
      <c r="B21" s="65">
        <f t="shared" si="16"/>
        <v>16</v>
      </c>
      <c r="C21" s="65" t="s">
        <v>1185</v>
      </c>
      <c r="D21" s="65" t="s">
        <v>51</v>
      </c>
      <c r="E21" s="65" t="s">
        <v>236</v>
      </c>
      <c r="F21" s="67">
        <v>42739</v>
      </c>
      <c r="G21" s="65">
        <v>37</v>
      </c>
      <c r="H21" s="68">
        <f t="shared" si="0"/>
        <v>5967.7419354838703</v>
      </c>
      <c r="I21" s="68">
        <f t="shared" si="11"/>
        <v>0</v>
      </c>
      <c r="J21" s="68">
        <f t="shared" si="1"/>
        <v>298.38709677419354</v>
      </c>
      <c r="K21" s="68"/>
      <c r="L21" s="68">
        <f t="shared" si="12"/>
        <v>954.83870967741927</v>
      </c>
      <c r="M21" s="68"/>
      <c r="N21" s="68">
        <f t="shared" si="24"/>
        <v>3520.9677419354839</v>
      </c>
      <c r="O21" s="68">
        <v>0</v>
      </c>
      <c r="P21" s="68">
        <v>0</v>
      </c>
      <c r="Q21" s="68">
        <v>1000</v>
      </c>
      <c r="R21" s="68">
        <f t="shared" si="13"/>
        <v>11741.935483870966</v>
      </c>
      <c r="S21" s="69">
        <f t="shared" si="2"/>
        <v>716.1290322580644</v>
      </c>
      <c r="T21" s="69">
        <f t="shared" si="3"/>
        <v>206</v>
      </c>
      <c r="U21" s="68">
        <f t="shared" si="14"/>
        <v>200</v>
      </c>
      <c r="V21" s="68">
        <v>0</v>
      </c>
      <c r="W21" s="68">
        <f t="shared" si="4"/>
        <v>1122.1290322580644</v>
      </c>
      <c r="X21" s="68">
        <f t="shared" si="5"/>
        <v>10619.806451612902</v>
      </c>
      <c r="Y21" s="68">
        <v>0</v>
      </c>
      <c r="Z21" s="68">
        <f t="shared" si="15"/>
        <v>10619.806451612902</v>
      </c>
      <c r="AA21" s="69">
        <f t="shared" si="6"/>
        <v>784.75806451612902</v>
      </c>
      <c r="AB21" s="69">
        <f t="shared" si="7"/>
        <v>558</v>
      </c>
      <c r="AC21" s="70">
        <f t="shared" si="8"/>
        <v>0</v>
      </c>
      <c r="AD21" s="71">
        <f t="shared" si="23"/>
        <v>1342.758064516129</v>
      </c>
      <c r="AE21" s="71">
        <f t="shared" si="10"/>
        <v>13084.693548387095</v>
      </c>
    </row>
    <row r="22" spans="1:31" x14ac:dyDescent="0.2">
      <c r="A22" s="64" t="s">
        <v>197</v>
      </c>
      <c r="B22" s="65">
        <f t="shared" si="16"/>
        <v>17</v>
      </c>
      <c r="C22" s="65" t="s">
        <v>243</v>
      </c>
      <c r="D22" s="65" t="s">
        <v>51</v>
      </c>
      <c r="E22" s="65" t="s">
        <v>658</v>
      </c>
      <c r="F22" s="67">
        <v>42739</v>
      </c>
      <c r="G22" s="65">
        <v>36</v>
      </c>
      <c r="H22" s="68">
        <f t="shared" si="0"/>
        <v>5806.4516129032254</v>
      </c>
      <c r="I22" s="68">
        <f t="shared" si="11"/>
        <v>0</v>
      </c>
      <c r="J22" s="68">
        <f t="shared" si="1"/>
        <v>290.32258064516128</v>
      </c>
      <c r="K22" s="68"/>
      <c r="L22" s="68">
        <f t="shared" si="12"/>
        <v>929.0322580645161</v>
      </c>
      <c r="M22" s="68"/>
      <c r="N22" s="68">
        <f>((1950+1000+611+1383)/G$3)*G22</f>
        <v>5741.4193548387093</v>
      </c>
      <c r="O22" s="68">
        <v>0</v>
      </c>
      <c r="P22" s="68">
        <v>0</v>
      </c>
      <c r="Q22" s="68">
        <v>1000</v>
      </c>
      <c r="R22" s="68">
        <f t="shared" si="13"/>
        <v>13767.225806451612</v>
      </c>
      <c r="S22" s="69">
        <f t="shared" si="2"/>
        <v>696.77419354838707</v>
      </c>
      <c r="T22" s="69">
        <f t="shared" si="3"/>
        <v>241</v>
      </c>
      <c r="U22" s="68">
        <f t="shared" si="14"/>
        <v>200</v>
      </c>
      <c r="V22" s="68">
        <v>0</v>
      </c>
      <c r="W22" s="68">
        <f t="shared" si="4"/>
        <v>1137.7741935483871</v>
      </c>
      <c r="X22" s="68">
        <f t="shared" si="5"/>
        <v>12629.451612903225</v>
      </c>
      <c r="Y22" s="68">
        <v>0</v>
      </c>
      <c r="Z22" s="68">
        <f t="shared" si="15"/>
        <v>12629.451612903225</v>
      </c>
      <c r="AA22" s="69">
        <f t="shared" si="6"/>
        <v>763.54838709677415</v>
      </c>
      <c r="AB22" s="69">
        <f t="shared" si="7"/>
        <v>654</v>
      </c>
      <c r="AC22" s="70">
        <f t="shared" si="8"/>
        <v>0</v>
      </c>
      <c r="AD22" s="71">
        <f t="shared" si="23"/>
        <v>1417.5483870967741</v>
      </c>
      <c r="AE22" s="71">
        <f t="shared" si="10"/>
        <v>15184.774193548386</v>
      </c>
    </row>
    <row r="23" spans="1:31" x14ac:dyDescent="0.2">
      <c r="A23" s="64" t="s">
        <v>253</v>
      </c>
      <c r="B23" s="65">
        <f t="shared" si="16"/>
        <v>18</v>
      </c>
      <c r="C23" s="65" t="s">
        <v>201</v>
      </c>
      <c r="D23" s="65" t="s">
        <v>51</v>
      </c>
      <c r="E23" s="65" t="s">
        <v>658</v>
      </c>
      <c r="F23" s="67">
        <v>42767</v>
      </c>
      <c r="G23" s="65">
        <v>30</v>
      </c>
      <c r="H23" s="68">
        <f t="shared" si="0"/>
        <v>4838.7096774193542</v>
      </c>
      <c r="I23" s="68">
        <f t="shared" si="11"/>
        <v>0</v>
      </c>
      <c r="J23" s="68">
        <f t="shared" si="1"/>
        <v>241.93548387096772</v>
      </c>
      <c r="K23" s="68"/>
      <c r="L23" s="68">
        <f t="shared" si="12"/>
        <v>774.19354838709671</v>
      </c>
      <c r="M23" s="68"/>
      <c r="N23" s="68">
        <f>((1950+1000+611+1383)/G$3)*G23</f>
        <v>4784.5161290322576</v>
      </c>
      <c r="O23" s="68">
        <v>0</v>
      </c>
      <c r="P23" s="68">
        <v>0</v>
      </c>
      <c r="Q23" s="68">
        <v>145</v>
      </c>
      <c r="R23" s="68">
        <f t="shared" si="13"/>
        <v>10784.354838709676</v>
      </c>
      <c r="S23" s="69">
        <f t="shared" si="2"/>
        <v>580.64516129032245</v>
      </c>
      <c r="T23" s="69">
        <f t="shared" si="3"/>
        <v>189</v>
      </c>
      <c r="U23" s="68">
        <f t="shared" si="14"/>
        <v>200</v>
      </c>
      <c r="V23" s="68">
        <v>0</v>
      </c>
      <c r="W23" s="68">
        <f t="shared" si="4"/>
        <v>969.64516129032245</v>
      </c>
      <c r="X23" s="68">
        <f t="shared" si="5"/>
        <v>9814.7096774193542</v>
      </c>
      <c r="Y23" s="68">
        <v>0</v>
      </c>
      <c r="Z23" s="68">
        <f t="shared" si="15"/>
        <v>9814.7096774193542</v>
      </c>
      <c r="AA23" s="69">
        <f t="shared" si="6"/>
        <v>636.29032258064512</v>
      </c>
      <c r="AB23" s="69">
        <f t="shared" si="7"/>
        <v>513</v>
      </c>
      <c r="AC23" s="70">
        <f t="shared" si="8"/>
        <v>0</v>
      </c>
      <c r="AD23" s="71">
        <f t="shared" si="23"/>
        <v>1149.2903225806451</v>
      </c>
      <c r="AE23" s="71">
        <f t="shared" si="10"/>
        <v>11933.645161290322</v>
      </c>
    </row>
    <row r="24" spans="1:31" x14ac:dyDescent="0.2">
      <c r="A24" s="64" t="s">
        <v>245</v>
      </c>
      <c r="B24" s="65">
        <f t="shared" si="16"/>
        <v>19</v>
      </c>
      <c r="C24" s="65" t="s">
        <v>244</v>
      </c>
      <c r="D24" s="65" t="s">
        <v>51</v>
      </c>
      <c r="E24" s="65" t="s">
        <v>657</v>
      </c>
      <c r="F24" s="67">
        <v>42767</v>
      </c>
      <c r="G24" s="65">
        <v>33</v>
      </c>
      <c r="H24" s="68">
        <f t="shared" si="0"/>
        <v>5322.5806451612898</v>
      </c>
      <c r="I24" s="68">
        <f t="shared" si="11"/>
        <v>0</v>
      </c>
      <c r="J24" s="68">
        <f t="shared" si="1"/>
        <v>266.12903225806451</v>
      </c>
      <c r="K24" s="68"/>
      <c r="L24" s="68">
        <f t="shared" si="12"/>
        <v>851.61290322580635</v>
      </c>
      <c r="M24" s="68"/>
      <c r="N24" s="68">
        <f t="shared" ref="N24" si="25">((2950)/G$3)*G24</f>
        <v>3140.322580645161</v>
      </c>
      <c r="O24" s="68">
        <v>0</v>
      </c>
      <c r="P24" s="68">
        <v>0</v>
      </c>
      <c r="Q24" s="68">
        <v>0</v>
      </c>
      <c r="R24" s="68">
        <f t="shared" si="13"/>
        <v>9580.645161290322</v>
      </c>
      <c r="S24" s="69">
        <f t="shared" si="2"/>
        <v>638.70967741935476</v>
      </c>
      <c r="T24" s="69">
        <f t="shared" si="3"/>
        <v>168</v>
      </c>
      <c r="U24" s="68">
        <f t="shared" si="14"/>
        <v>175</v>
      </c>
      <c r="V24" s="68">
        <v>0</v>
      </c>
      <c r="W24" s="68">
        <f t="shared" si="4"/>
        <v>981.70967741935476</v>
      </c>
      <c r="X24" s="68">
        <f t="shared" si="5"/>
        <v>8598.9354838709678</v>
      </c>
      <c r="Y24" s="68">
        <v>0</v>
      </c>
      <c r="Z24" s="68">
        <f t="shared" si="15"/>
        <v>8598.9354838709678</v>
      </c>
      <c r="AA24" s="69">
        <f t="shared" si="6"/>
        <v>699.91935483870964</v>
      </c>
      <c r="AB24" s="69">
        <f t="shared" si="7"/>
        <v>456</v>
      </c>
      <c r="AC24" s="70">
        <f t="shared" si="8"/>
        <v>0</v>
      </c>
      <c r="AD24" s="71">
        <f t="shared" si="23"/>
        <v>1155.9193548387098</v>
      </c>
      <c r="AE24" s="71">
        <f t="shared" si="10"/>
        <v>10736.564516129032</v>
      </c>
    </row>
    <row r="25" spans="1:31" x14ac:dyDescent="0.2">
      <c r="A25" s="64" t="s">
        <v>290</v>
      </c>
      <c r="B25" s="65">
        <f t="shared" si="16"/>
        <v>20</v>
      </c>
      <c r="C25" s="65" t="s">
        <v>246</v>
      </c>
      <c r="D25" s="65" t="s">
        <v>51</v>
      </c>
      <c r="E25" s="65" t="s">
        <v>1375</v>
      </c>
      <c r="F25" s="67">
        <v>42796</v>
      </c>
      <c r="G25" s="65">
        <v>33</v>
      </c>
      <c r="H25" s="68">
        <f t="shared" si="0"/>
        <v>5322.5806451612898</v>
      </c>
      <c r="I25" s="68">
        <f t="shared" si="11"/>
        <v>0</v>
      </c>
      <c r="J25" s="68">
        <f t="shared" si="1"/>
        <v>266.12903225806451</v>
      </c>
      <c r="K25" s="68"/>
      <c r="L25" s="68">
        <f t="shared" si="12"/>
        <v>851.61290322580635</v>
      </c>
      <c r="M25" s="68"/>
      <c r="N25" s="68">
        <f>((2950+3000)/G$3)*G25</f>
        <v>6333.8709677419356</v>
      </c>
      <c r="O25" s="68">
        <v>0</v>
      </c>
      <c r="P25" s="68">
        <v>0</v>
      </c>
      <c r="Q25" s="68">
        <v>0</v>
      </c>
      <c r="R25" s="68">
        <f t="shared" si="13"/>
        <v>12774.193548387097</v>
      </c>
      <c r="S25" s="69">
        <f t="shared" si="2"/>
        <v>638.70967741935476</v>
      </c>
      <c r="T25" s="69">
        <f t="shared" si="3"/>
        <v>224</v>
      </c>
      <c r="U25" s="68">
        <f t="shared" si="14"/>
        <v>200</v>
      </c>
      <c r="V25" s="68">
        <v>0</v>
      </c>
      <c r="W25" s="68">
        <f t="shared" si="4"/>
        <v>1062.7096774193546</v>
      </c>
      <c r="X25" s="68">
        <f t="shared" si="5"/>
        <v>11711.483870967742</v>
      </c>
      <c r="Y25" s="68">
        <v>0</v>
      </c>
      <c r="Z25" s="68">
        <f t="shared" si="15"/>
        <v>11711.483870967742</v>
      </c>
      <c r="AA25" s="69">
        <f t="shared" si="6"/>
        <v>699.91935483870964</v>
      </c>
      <c r="AB25" s="69">
        <f t="shared" si="7"/>
        <v>607</v>
      </c>
      <c r="AC25" s="70">
        <f t="shared" si="8"/>
        <v>0</v>
      </c>
      <c r="AD25" s="71">
        <f t="shared" si="23"/>
        <v>1306.9193548387098</v>
      </c>
      <c r="AE25" s="71">
        <f t="shared" si="10"/>
        <v>14081.112903225807</v>
      </c>
    </row>
    <row r="26" spans="1:31" x14ac:dyDescent="0.2">
      <c r="A26" s="64" t="s">
        <v>291</v>
      </c>
      <c r="B26" s="65">
        <f t="shared" si="16"/>
        <v>21</v>
      </c>
      <c r="C26" s="65" t="s">
        <v>247</v>
      </c>
      <c r="D26" s="65" t="s">
        <v>51</v>
      </c>
      <c r="E26" s="65" t="s">
        <v>658</v>
      </c>
      <c r="F26" s="67">
        <v>42801</v>
      </c>
      <c r="G26" s="65">
        <v>36</v>
      </c>
      <c r="H26" s="68">
        <f t="shared" si="0"/>
        <v>5806.4516129032254</v>
      </c>
      <c r="I26" s="68">
        <f t="shared" si="11"/>
        <v>0</v>
      </c>
      <c r="J26" s="68">
        <f t="shared" si="1"/>
        <v>290.32258064516128</v>
      </c>
      <c r="K26" s="68"/>
      <c r="L26" s="68">
        <f t="shared" si="12"/>
        <v>929.0322580645161</v>
      </c>
      <c r="M26" s="68"/>
      <c r="N26" s="68">
        <f>((1950+1000+611+1383)/G$3)*G26</f>
        <v>5741.4193548387093</v>
      </c>
      <c r="O26" s="68">
        <v>0</v>
      </c>
      <c r="P26" s="68">
        <v>0</v>
      </c>
      <c r="Q26" s="68">
        <v>0</v>
      </c>
      <c r="R26" s="68">
        <f t="shared" si="13"/>
        <v>12767.225806451612</v>
      </c>
      <c r="S26" s="69">
        <f t="shared" si="2"/>
        <v>696.77419354838707</v>
      </c>
      <c r="T26" s="69">
        <f t="shared" si="3"/>
        <v>224</v>
      </c>
      <c r="U26" s="68">
        <f t="shared" si="14"/>
        <v>200</v>
      </c>
      <c r="V26" s="68">
        <v>0</v>
      </c>
      <c r="W26" s="68">
        <f t="shared" si="4"/>
        <v>1120.7741935483871</v>
      </c>
      <c r="X26" s="68">
        <f t="shared" si="5"/>
        <v>11646.451612903225</v>
      </c>
      <c r="Y26" s="68">
        <v>0</v>
      </c>
      <c r="Z26" s="68">
        <f t="shared" si="15"/>
        <v>11646.451612903225</v>
      </c>
      <c r="AA26" s="69">
        <f t="shared" si="6"/>
        <v>763.54838709677415</v>
      </c>
      <c r="AB26" s="69">
        <f t="shared" si="7"/>
        <v>607</v>
      </c>
      <c r="AC26" s="70">
        <f t="shared" si="8"/>
        <v>0</v>
      </c>
      <c r="AD26" s="71">
        <f t="shared" si="23"/>
        <v>1370.5483870967741</v>
      </c>
      <c r="AE26" s="71">
        <f t="shared" si="10"/>
        <v>14137.774193548386</v>
      </c>
    </row>
    <row r="27" spans="1:31" x14ac:dyDescent="0.2">
      <c r="A27" s="64" t="s">
        <v>292</v>
      </c>
      <c r="B27" s="65">
        <f t="shared" si="16"/>
        <v>22</v>
      </c>
      <c r="C27" s="65" t="s">
        <v>248</v>
      </c>
      <c r="D27" s="65" t="s">
        <v>51</v>
      </c>
      <c r="E27" s="65" t="s">
        <v>658</v>
      </c>
      <c r="F27" s="67">
        <v>42815</v>
      </c>
      <c r="G27" s="65">
        <v>30</v>
      </c>
      <c r="H27" s="68">
        <f t="shared" si="0"/>
        <v>4838.7096774193542</v>
      </c>
      <c r="I27" s="68">
        <f t="shared" si="11"/>
        <v>0</v>
      </c>
      <c r="J27" s="68">
        <f t="shared" si="1"/>
        <v>241.93548387096772</v>
      </c>
      <c r="K27" s="68"/>
      <c r="L27" s="68">
        <f t="shared" si="12"/>
        <v>774.19354838709671</v>
      </c>
      <c r="M27" s="68"/>
      <c r="N27" s="68">
        <f>((1950+1000+611+1383)/G$3)*G27</f>
        <v>4784.5161290322576</v>
      </c>
      <c r="O27" s="68">
        <v>0</v>
      </c>
      <c r="P27" s="68">
        <v>0</v>
      </c>
      <c r="Q27" s="68">
        <v>145</v>
      </c>
      <c r="R27" s="68">
        <f t="shared" si="13"/>
        <v>10784.354838709676</v>
      </c>
      <c r="S27" s="69">
        <f t="shared" si="2"/>
        <v>580.64516129032245</v>
      </c>
      <c r="T27" s="69">
        <f t="shared" si="3"/>
        <v>189</v>
      </c>
      <c r="U27" s="68">
        <f t="shared" si="14"/>
        <v>200</v>
      </c>
      <c r="V27" s="68">
        <v>0</v>
      </c>
      <c r="W27" s="68">
        <f t="shared" si="4"/>
        <v>969.64516129032245</v>
      </c>
      <c r="X27" s="68">
        <f t="shared" si="5"/>
        <v>9814.7096774193542</v>
      </c>
      <c r="Y27" s="68">
        <v>0</v>
      </c>
      <c r="Z27" s="68">
        <f t="shared" si="15"/>
        <v>9814.7096774193542</v>
      </c>
      <c r="AA27" s="69">
        <f t="shared" si="6"/>
        <v>636.29032258064512</v>
      </c>
      <c r="AB27" s="69">
        <f t="shared" si="7"/>
        <v>513</v>
      </c>
      <c r="AC27" s="70">
        <f t="shared" si="8"/>
        <v>0</v>
      </c>
      <c r="AD27" s="71">
        <f t="shared" si="23"/>
        <v>1149.2903225806451</v>
      </c>
      <c r="AE27" s="71">
        <f t="shared" si="10"/>
        <v>11933.645161290322</v>
      </c>
    </row>
    <row r="28" spans="1:31" x14ac:dyDescent="0.2">
      <c r="A28" s="64" t="s">
        <v>294</v>
      </c>
      <c r="B28" s="65">
        <f t="shared" si="16"/>
        <v>23</v>
      </c>
      <c r="C28" s="65" t="s">
        <v>250</v>
      </c>
      <c r="D28" s="65" t="s">
        <v>51</v>
      </c>
      <c r="E28" s="65" t="s">
        <v>238</v>
      </c>
      <c r="F28" s="67">
        <v>42810</v>
      </c>
      <c r="G28" s="65">
        <v>30</v>
      </c>
      <c r="H28" s="68">
        <f t="shared" si="0"/>
        <v>4838.7096774193542</v>
      </c>
      <c r="I28" s="68">
        <f t="shared" si="11"/>
        <v>0</v>
      </c>
      <c r="J28" s="68">
        <f t="shared" si="1"/>
        <v>241.93548387096772</v>
      </c>
      <c r="K28" s="68"/>
      <c r="L28" s="68">
        <f t="shared" si="12"/>
        <v>774.19354838709671</v>
      </c>
      <c r="M28" s="68"/>
      <c r="N28" s="68">
        <f>((2950+3000)/G$3)*G28</f>
        <v>5758.0645161290322</v>
      </c>
      <c r="O28" s="68">
        <v>0</v>
      </c>
      <c r="P28" s="68">
        <v>0</v>
      </c>
      <c r="Q28" s="68">
        <v>65</v>
      </c>
      <c r="R28" s="68">
        <f t="shared" si="13"/>
        <v>11677.903225806451</v>
      </c>
      <c r="S28" s="69">
        <f t="shared" si="2"/>
        <v>580.64516129032245</v>
      </c>
      <c r="T28" s="69">
        <f t="shared" si="3"/>
        <v>205</v>
      </c>
      <c r="U28" s="68">
        <f t="shared" si="14"/>
        <v>200</v>
      </c>
      <c r="V28" s="68">
        <v>0</v>
      </c>
      <c r="W28" s="68">
        <f t="shared" si="4"/>
        <v>985.64516129032245</v>
      </c>
      <c r="X28" s="68">
        <f t="shared" si="5"/>
        <v>10692.258064516129</v>
      </c>
      <c r="Y28" s="68">
        <v>0</v>
      </c>
      <c r="Z28" s="68">
        <f t="shared" si="15"/>
        <v>10692.258064516129</v>
      </c>
      <c r="AA28" s="69">
        <f t="shared" si="6"/>
        <v>636.29032258064512</v>
      </c>
      <c r="AB28" s="69">
        <f t="shared" si="7"/>
        <v>555</v>
      </c>
      <c r="AC28" s="70">
        <f t="shared" si="8"/>
        <v>0</v>
      </c>
      <c r="AD28" s="71">
        <f t="shared" si="23"/>
        <v>1191.2903225806451</v>
      </c>
      <c r="AE28" s="71">
        <f t="shared" si="10"/>
        <v>12869.193548387097</v>
      </c>
    </row>
    <row r="29" spans="1:31" x14ac:dyDescent="0.2">
      <c r="A29" s="64" t="s">
        <v>410</v>
      </c>
      <c r="B29" s="65">
        <f t="shared" si="16"/>
        <v>24</v>
      </c>
      <c r="C29" s="65" t="s">
        <v>310</v>
      </c>
      <c r="D29" s="65" t="s">
        <v>51</v>
      </c>
      <c r="E29" s="65" t="s">
        <v>581</v>
      </c>
      <c r="F29" s="67">
        <v>42832</v>
      </c>
      <c r="G29" s="65">
        <v>36</v>
      </c>
      <c r="H29" s="68">
        <f t="shared" si="0"/>
        <v>5806.4516129032254</v>
      </c>
      <c r="I29" s="68">
        <f t="shared" si="11"/>
        <v>0</v>
      </c>
      <c r="J29" s="68">
        <f t="shared" si="1"/>
        <v>290.32258064516128</v>
      </c>
      <c r="K29" s="68"/>
      <c r="L29" s="68">
        <f t="shared" si="12"/>
        <v>929.0322580645161</v>
      </c>
      <c r="M29" s="68"/>
      <c r="N29" s="68">
        <f>((2950+6000)/G$3)*G29</f>
        <v>10393.548387096773</v>
      </c>
      <c r="O29" s="68">
        <v>0</v>
      </c>
      <c r="P29" s="68">
        <v>0</v>
      </c>
      <c r="Q29" s="68">
        <v>0</v>
      </c>
      <c r="R29" s="68">
        <f t="shared" si="13"/>
        <v>17419.354838709674</v>
      </c>
      <c r="S29" s="69">
        <f t="shared" si="2"/>
        <v>696.77419354838707</v>
      </c>
      <c r="T29" s="69">
        <f t="shared" si="3"/>
        <v>305</v>
      </c>
      <c r="U29" s="68">
        <f t="shared" si="14"/>
        <v>200</v>
      </c>
      <c r="V29" s="68">
        <v>0</v>
      </c>
      <c r="W29" s="68">
        <f t="shared" si="4"/>
        <v>1201.7741935483871</v>
      </c>
      <c r="X29" s="68">
        <f t="shared" si="5"/>
        <v>16217.580645161288</v>
      </c>
      <c r="Y29" s="68">
        <v>0</v>
      </c>
      <c r="Z29" s="68">
        <f t="shared" si="15"/>
        <v>16217.580645161288</v>
      </c>
      <c r="AA29" s="69">
        <f t="shared" si="6"/>
        <v>763.54838709677415</v>
      </c>
      <c r="AB29" s="69">
        <f t="shared" si="7"/>
        <v>828</v>
      </c>
      <c r="AC29" s="70">
        <f t="shared" si="8"/>
        <v>0</v>
      </c>
      <c r="AD29" s="71">
        <f t="shared" si="23"/>
        <v>1591.5483870967741</v>
      </c>
      <c r="AE29" s="71">
        <f t="shared" si="10"/>
        <v>19010.903225806447</v>
      </c>
    </row>
    <row r="30" spans="1:31" x14ac:dyDescent="0.2">
      <c r="A30" s="64" t="s">
        <v>411</v>
      </c>
      <c r="B30" s="65">
        <f t="shared" si="16"/>
        <v>25</v>
      </c>
      <c r="C30" s="65" t="s">
        <v>311</v>
      </c>
      <c r="D30" s="65" t="s">
        <v>51</v>
      </c>
      <c r="E30" s="65" t="s">
        <v>661</v>
      </c>
      <c r="F30" s="67">
        <v>42843</v>
      </c>
      <c r="G30" s="65">
        <v>32</v>
      </c>
      <c r="H30" s="68">
        <f t="shared" si="0"/>
        <v>5161.2903225806449</v>
      </c>
      <c r="I30" s="68">
        <f t="shared" si="11"/>
        <v>0</v>
      </c>
      <c r="J30" s="68">
        <f t="shared" si="1"/>
        <v>258.06451612903226</v>
      </c>
      <c r="K30" s="68"/>
      <c r="L30" s="68">
        <f t="shared" si="12"/>
        <v>825.80645161290317</v>
      </c>
      <c r="M30" s="68"/>
      <c r="N30" s="68">
        <f>((2950+4500)/G$3)*G30</f>
        <v>7690.322580645161</v>
      </c>
      <c r="O30" s="68">
        <v>0</v>
      </c>
      <c r="P30" s="68">
        <v>0</v>
      </c>
      <c r="Q30" s="68">
        <v>355</v>
      </c>
      <c r="R30" s="68">
        <f t="shared" si="13"/>
        <v>14290.483870967742</v>
      </c>
      <c r="S30" s="69">
        <f t="shared" si="2"/>
        <v>619.35483870967732</v>
      </c>
      <c r="T30" s="69">
        <f t="shared" si="3"/>
        <v>251</v>
      </c>
      <c r="U30" s="68">
        <f t="shared" si="14"/>
        <v>200</v>
      </c>
      <c r="V30" s="68">
        <v>0</v>
      </c>
      <c r="W30" s="68">
        <f t="shared" si="4"/>
        <v>1070.3548387096773</v>
      </c>
      <c r="X30" s="68">
        <f t="shared" si="5"/>
        <v>13220.129032258064</v>
      </c>
      <c r="Y30" s="68">
        <v>0</v>
      </c>
      <c r="Z30" s="68">
        <f t="shared" si="15"/>
        <v>13220.129032258064</v>
      </c>
      <c r="AA30" s="69">
        <f t="shared" si="6"/>
        <v>678.70967741935488</v>
      </c>
      <c r="AB30" s="69">
        <f t="shared" si="7"/>
        <v>679</v>
      </c>
      <c r="AC30" s="70">
        <f t="shared" si="8"/>
        <v>0</v>
      </c>
      <c r="AD30" s="71">
        <f t="shared" si="23"/>
        <v>1357.7096774193549</v>
      </c>
      <c r="AE30" s="71">
        <f t="shared" si="10"/>
        <v>15648.193548387097</v>
      </c>
    </row>
    <row r="31" spans="1:31" x14ac:dyDescent="0.2">
      <c r="A31" s="64" t="s">
        <v>467</v>
      </c>
      <c r="B31" s="65">
        <f t="shared" si="16"/>
        <v>26</v>
      </c>
      <c r="C31" s="65" t="s">
        <v>334</v>
      </c>
      <c r="D31" s="65" t="s">
        <v>51</v>
      </c>
      <c r="E31" s="65" t="s">
        <v>662</v>
      </c>
      <c r="F31" s="67">
        <v>42856</v>
      </c>
      <c r="G31" s="65">
        <v>36</v>
      </c>
      <c r="H31" s="68">
        <f t="shared" si="0"/>
        <v>5806.4516129032254</v>
      </c>
      <c r="I31" s="68">
        <f t="shared" si="11"/>
        <v>0</v>
      </c>
      <c r="J31" s="68">
        <f t="shared" si="1"/>
        <v>290.32258064516128</v>
      </c>
      <c r="K31" s="68"/>
      <c r="L31" s="68">
        <f t="shared" si="12"/>
        <v>929.0322580645161</v>
      </c>
      <c r="M31" s="68"/>
      <c r="N31" s="68">
        <f>((2950+8100)/G$3)*G31</f>
        <v>12832.258064516129</v>
      </c>
      <c r="O31" s="68">
        <v>0</v>
      </c>
      <c r="P31" s="68">
        <v>0</v>
      </c>
      <c r="Q31" s="68">
        <v>1000</v>
      </c>
      <c r="R31" s="68">
        <f t="shared" si="13"/>
        <v>20858.06451612903</v>
      </c>
      <c r="S31" s="69">
        <f t="shared" si="2"/>
        <v>696.77419354838707</v>
      </c>
      <c r="T31" s="69">
        <f t="shared" si="3"/>
        <v>366</v>
      </c>
      <c r="U31" s="68">
        <f t="shared" si="14"/>
        <v>200</v>
      </c>
      <c r="V31" s="68">
        <v>0</v>
      </c>
      <c r="W31" s="68">
        <f t="shared" si="4"/>
        <v>1262.7741935483871</v>
      </c>
      <c r="X31" s="68">
        <f t="shared" si="5"/>
        <v>19595.290322580644</v>
      </c>
      <c r="Y31" s="68">
        <v>0</v>
      </c>
      <c r="Z31" s="68">
        <f t="shared" si="15"/>
        <v>19595.290322580644</v>
      </c>
      <c r="AA31" s="69">
        <f t="shared" si="6"/>
        <v>763.54838709677415</v>
      </c>
      <c r="AB31" s="69">
        <f t="shared" si="7"/>
        <v>991</v>
      </c>
      <c r="AC31" s="70">
        <f t="shared" si="8"/>
        <v>0</v>
      </c>
      <c r="AD31" s="71">
        <f t="shared" si="23"/>
        <v>1754.5483870967741</v>
      </c>
      <c r="AE31" s="71">
        <f t="shared" si="10"/>
        <v>22612.612903225803</v>
      </c>
    </row>
    <row r="32" spans="1:31" x14ac:dyDescent="0.2">
      <c r="A32" s="64" t="s">
        <v>468</v>
      </c>
      <c r="B32" s="65">
        <f t="shared" si="16"/>
        <v>27</v>
      </c>
      <c r="C32" s="65" t="s">
        <v>335</v>
      </c>
      <c r="D32" s="65" t="s">
        <v>51</v>
      </c>
      <c r="E32" s="65" t="s">
        <v>663</v>
      </c>
      <c r="F32" s="67">
        <v>42856</v>
      </c>
      <c r="G32" s="65">
        <v>30</v>
      </c>
      <c r="H32" s="68">
        <f t="shared" si="0"/>
        <v>4838.7096774193542</v>
      </c>
      <c r="I32" s="68">
        <f t="shared" si="11"/>
        <v>0</v>
      </c>
      <c r="J32" s="68">
        <f t="shared" si="1"/>
        <v>241.93548387096772</v>
      </c>
      <c r="K32" s="68"/>
      <c r="L32" s="68">
        <f t="shared" si="12"/>
        <v>774.19354838709671</v>
      </c>
      <c r="M32" s="68"/>
      <c r="N32" s="68">
        <f>((2950+2000)/G$3)*G32</f>
        <v>4790.3225806451619</v>
      </c>
      <c r="O32" s="68">
        <v>0</v>
      </c>
      <c r="P32" s="68">
        <v>0</v>
      </c>
      <c r="Q32" s="68">
        <v>81</v>
      </c>
      <c r="R32" s="68">
        <f t="shared" si="13"/>
        <v>10726.16129032258</v>
      </c>
      <c r="S32" s="69">
        <f t="shared" si="2"/>
        <v>580.64516129032245</v>
      </c>
      <c r="T32" s="69">
        <f t="shared" si="3"/>
        <v>188</v>
      </c>
      <c r="U32" s="68">
        <f t="shared" si="14"/>
        <v>200</v>
      </c>
      <c r="V32" s="68">
        <v>0</v>
      </c>
      <c r="W32" s="68">
        <f t="shared" si="4"/>
        <v>968.64516129032245</v>
      </c>
      <c r="X32" s="68">
        <f t="shared" si="5"/>
        <v>9757.5161290322576</v>
      </c>
      <c r="Y32" s="68">
        <v>0</v>
      </c>
      <c r="Z32" s="68">
        <f t="shared" si="15"/>
        <v>9757.5161290322576</v>
      </c>
      <c r="AA32" s="69">
        <f t="shared" si="6"/>
        <v>636.29032258064512</v>
      </c>
      <c r="AB32" s="69">
        <f t="shared" si="7"/>
        <v>510</v>
      </c>
      <c r="AC32" s="70">
        <f t="shared" si="8"/>
        <v>0</v>
      </c>
      <c r="AD32" s="71">
        <f t="shared" si="23"/>
        <v>1146.2903225806451</v>
      </c>
      <c r="AE32" s="71">
        <f t="shared" si="10"/>
        <v>11872.451612903225</v>
      </c>
    </row>
    <row r="33" spans="1:31" x14ac:dyDescent="0.2">
      <c r="A33" s="64" t="s">
        <v>764</v>
      </c>
      <c r="B33" s="65">
        <f t="shared" si="16"/>
        <v>28</v>
      </c>
      <c r="C33" s="65" t="s">
        <v>440</v>
      </c>
      <c r="D33" s="65" t="s">
        <v>51</v>
      </c>
      <c r="E33" s="72" t="s">
        <v>1162</v>
      </c>
      <c r="F33" s="67">
        <v>42891</v>
      </c>
      <c r="G33" s="65">
        <v>28</v>
      </c>
      <c r="H33" s="68">
        <f t="shared" si="0"/>
        <v>4516.1290322580644</v>
      </c>
      <c r="I33" s="68">
        <f t="shared" si="11"/>
        <v>0</v>
      </c>
      <c r="J33" s="68">
        <f t="shared" si="1"/>
        <v>225.80645161290323</v>
      </c>
      <c r="K33" s="68"/>
      <c r="L33" s="68">
        <f t="shared" si="12"/>
        <v>722.58064516129025</v>
      </c>
      <c r="M33" s="68"/>
      <c r="N33" s="68">
        <f t="shared" ref="N33:N37" si="26">((1950+1000+611+1383)/G$3)*G33</f>
        <v>4465.5483870967737</v>
      </c>
      <c r="O33" s="68">
        <v>0</v>
      </c>
      <c r="P33" s="68">
        <v>0</v>
      </c>
      <c r="Q33" s="68">
        <v>355</v>
      </c>
      <c r="R33" s="68">
        <f t="shared" si="13"/>
        <v>10285.06451612903</v>
      </c>
      <c r="S33" s="69">
        <f t="shared" si="2"/>
        <v>541.93548387096769</v>
      </c>
      <c r="T33" s="69">
        <f t="shared" si="3"/>
        <v>180</v>
      </c>
      <c r="U33" s="68">
        <f t="shared" si="14"/>
        <v>200</v>
      </c>
      <c r="V33" s="68">
        <v>0</v>
      </c>
      <c r="W33" s="68">
        <f t="shared" si="4"/>
        <v>921.93548387096769</v>
      </c>
      <c r="X33" s="68">
        <f t="shared" si="5"/>
        <v>9363.1290322580626</v>
      </c>
      <c r="Y33" s="68">
        <v>0</v>
      </c>
      <c r="Z33" s="68">
        <f t="shared" si="15"/>
        <v>9363.1290322580626</v>
      </c>
      <c r="AA33" s="69">
        <f t="shared" si="6"/>
        <v>593.87096774193549</v>
      </c>
      <c r="AB33" s="69">
        <f t="shared" si="7"/>
        <v>489</v>
      </c>
      <c r="AC33" s="70">
        <f t="shared" si="8"/>
        <v>0</v>
      </c>
      <c r="AD33" s="71">
        <f t="shared" ref="AD33:AD66" si="27">SUM(AA33:AC33)</f>
        <v>1082.8709677419356</v>
      </c>
      <c r="AE33" s="71">
        <f t="shared" si="10"/>
        <v>11367.935483870966</v>
      </c>
    </row>
    <row r="34" spans="1:31" x14ac:dyDescent="0.2">
      <c r="A34" s="64" t="s">
        <v>766</v>
      </c>
      <c r="B34" s="65">
        <f t="shared" si="16"/>
        <v>29</v>
      </c>
      <c r="C34" s="65" t="s">
        <v>442</v>
      </c>
      <c r="D34" s="65" t="s">
        <v>51</v>
      </c>
      <c r="E34" s="65" t="s">
        <v>238</v>
      </c>
      <c r="F34" s="67">
        <v>42887</v>
      </c>
      <c r="G34" s="65">
        <v>33</v>
      </c>
      <c r="H34" s="68">
        <f t="shared" si="0"/>
        <v>5322.5806451612898</v>
      </c>
      <c r="I34" s="68">
        <f t="shared" si="11"/>
        <v>0</v>
      </c>
      <c r="J34" s="68">
        <f t="shared" si="1"/>
        <v>266.12903225806451</v>
      </c>
      <c r="K34" s="68"/>
      <c r="L34" s="68">
        <f t="shared" si="12"/>
        <v>851.61290322580635</v>
      </c>
      <c r="M34" s="68"/>
      <c r="N34" s="68">
        <f t="shared" si="26"/>
        <v>5262.967741935483</v>
      </c>
      <c r="O34" s="68">
        <v>0</v>
      </c>
      <c r="P34" s="68">
        <v>0</v>
      </c>
      <c r="Q34" s="68">
        <v>435</v>
      </c>
      <c r="R34" s="68">
        <f t="shared" si="13"/>
        <v>12138.290322580644</v>
      </c>
      <c r="S34" s="69">
        <f t="shared" si="2"/>
        <v>638.70967741935476</v>
      </c>
      <c r="T34" s="69">
        <f t="shared" si="3"/>
        <v>213</v>
      </c>
      <c r="U34" s="68">
        <f t="shared" si="14"/>
        <v>200</v>
      </c>
      <c r="V34" s="68">
        <v>0</v>
      </c>
      <c r="W34" s="68">
        <f t="shared" si="4"/>
        <v>1051.7096774193546</v>
      </c>
      <c r="X34" s="68">
        <f t="shared" si="5"/>
        <v>11086.58064516129</v>
      </c>
      <c r="Y34" s="68">
        <v>0</v>
      </c>
      <c r="Z34" s="68">
        <f t="shared" si="15"/>
        <v>11086.58064516129</v>
      </c>
      <c r="AA34" s="69">
        <f t="shared" si="6"/>
        <v>699.91935483870964</v>
      </c>
      <c r="AB34" s="69">
        <f t="shared" si="7"/>
        <v>577</v>
      </c>
      <c r="AC34" s="70">
        <f t="shared" si="8"/>
        <v>0</v>
      </c>
      <c r="AD34" s="71">
        <f t="shared" si="27"/>
        <v>1276.9193548387098</v>
      </c>
      <c r="AE34" s="71">
        <f t="shared" si="10"/>
        <v>13415.209677419354</v>
      </c>
    </row>
    <row r="35" spans="1:31" x14ac:dyDescent="0.2">
      <c r="A35" s="64" t="s">
        <v>767</v>
      </c>
      <c r="B35" s="65">
        <f t="shared" si="16"/>
        <v>30</v>
      </c>
      <c r="C35" s="65" t="s">
        <v>443</v>
      </c>
      <c r="D35" s="65" t="s">
        <v>51</v>
      </c>
      <c r="E35" s="65" t="s">
        <v>1375</v>
      </c>
      <c r="F35" s="67">
        <v>42912</v>
      </c>
      <c r="G35" s="65">
        <v>34</v>
      </c>
      <c r="H35" s="68">
        <f t="shared" si="0"/>
        <v>5483.8709677419356</v>
      </c>
      <c r="I35" s="68">
        <f t="shared" si="11"/>
        <v>0</v>
      </c>
      <c r="J35" s="68">
        <f t="shared" si="1"/>
        <v>274.19354838709677</v>
      </c>
      <c r="K35" s="68"/>
      <c r="L35" s="68">
        <f t="shared" si="12"/>
        <v>877.41935483870964</v>
      </c>
      <c r="M35" s="68"/>
      <c r="N35" s="68">
        <f>((2950+9000)/G$3)*G35</f>
        <v>13106.451612903227</v>
      </c>
      <c r="O35" s="68">
        <v>0</v>
      </c>
      <c r="P35" s="68">
        <v>0</v>
      </c>
      <c r="Q35" s="68">
        <v>0</v>
      </c>
      <c r="R35" s="68">
        <f t="shared" si="13"/>
        <v>19741.93548387097</v>
      </c>
      <c r="S35" s="69">
        <f t="shared" si="2"/>
        <v>658.0645161290322</v>
      </c>
      <c r="T35" s="69">
        <f t="shared" si="3"/>
        <v>346</v>
      </c>
      <c r="U35" s="68">
        <f t="shared" si="14"/>
        <v>200</v>
      </c>
      <c r="V35" s="68">
        <v>0</v>
      </c>
      <c r="W35" s="68">
        <f t="shared" si="4"/>
        <v>1204.0645161290322</v>
      </c>
      <c r="X35" s="68">
        <f t="shared" si="5"/>
        <v>18537.870967741939</v>
      </c>
      <c r="Y35" s="68">
        <v>0</v>
      </c>
      <c r="Z35" s="68">
        <f t="shared" si="15"/>
        <v>18537.870967741939</v>
      </c>
      <c r="AA35" s="69">
        <f t="shared" si="6"/>
        <v>721.12903225806451</v>
      </c>
      <c r="AB35" s="69">
        <f t="shared" si="7"/>
        <v>938</v>
      </c>
      <c r="AC35" s="70">
        <f t="shared" si="8"/>
        <v>0</v>
      </c>
      <c r="AD35" s="71">
        <f t="shared" si="27"/>
        <v>1659.1290322580644</v>
      </c>
      <c r="AE35" s="71">
        <f t="shared" si="10"/>
        <v>21401.064516129034</v>
      </c>
    </row>
    <row r="36" spans="1:31" x14ac:dyDescent="0.2">
      <c r="A36" s="64" t="s">
        <v>768</v>
      </c>
      <c r="B36" s="65">
        <f t="shared" si="16"/>
        <v>31</v>
      </c>
      <c r="C36" s="65" t="s">
        <v>444</v>
      </c>
      <c r="D36" s="65" t="s">
        <v>51</v>
      </c>
      <c r="E36" s="65" t="s">
        <v>658</v>
      </c>
      <c r="F36" s="67">
        <v>42888</v>
      </c>
      <c r="G36" s="65">
        <v>34</v>
      </c>
      <c r="H36" s="68">
        <f t="shared" si="0"/>
        <v>5483.8709677419356</v>
      </c>
      <c r="I36" s="68">
        <f t="shared" si="11"/>
        <v>0</v>
      </c>
      <c r="J36" s="68">
        <f t="shared" si="1"/>
        <v>274.19354838709677</v>
      </c>
      <c r="K36" s="68"/>
      <c r="L36" s="68">
        <f t="shared" si="12"/>
        <v>877.41935483870964</v>
      </c>
      <c r="M36" s="68"/>
      <c r="N36" s="68">
        <f t="shared" si="26"/>
        <v>5422.4516129032254</v>
      </c>
      <c r="O36" s="68">
        <v>0</v>
      </c>
      <c r="P36" s="68">
        <v>0</v>
      </c>
      <c r="Q36" s="68">
        <v>1000</v>
      </c>
      <c r="R36" s="68">
        <f t="shared" si="13"/>
        <v>13057.935483870966</v>
      </c>
      <c r="S36" s="69">
        <f t="shared" si="2"/>
        <v>658.0645161290322</v>
      </c>
      <c r="T36" s="69">
        <f t="shared" si="3"/>
        <v>229</v>
      </c>
      <c r="U36" s="68">
        <f t="shared" si="14"/>
        <v>200</v>
      </c>
      <c r="V36" s="68">
        <v>0</v>
      </c>
      <c r="W36" s="68">
        <f t="shared" si="4"/>
        <v>1087.0645161290322</v>
      </c>
      <c r="X36" s="68">
        <f t="shared" si="5"/>
        <v>11970.870967741934</v>
      </c>
      <c r="Y36" s="68">
        <v>0</v>
      </c>
      <c r="Z36" s="68">
        <f t="shared" si="15"/>
        <v>11970.870967741934</v>
      </c>
      <c r="AA36" s="69">
        <f t="shared" si="6"/>
        <v>721.12903225806451</v>
      </c>
      <c r="AB36" s="69">
        <f t="shared" si="7"/>
        <v>621</v>
      </c>
      <c r="AC36" s="70">
        <f t="shared" si="8"/>
        <v>0</v>
      </c>
      <c r="AD36" s="71">
        <f t="shared" si="27"/>
        <v>1342.1290322580644</v>
      </c>
      <c r="AE36" s="71">
        <f t="shared" si="10"/>
        <v>14400.06451612903</v>
      </c>
    </row>
    <row r="37" spans="1:31" x14ac:dyDescent="0.2">
      <c r="A37" s="64" t="s">
        <v>769</v>
      </c>
      <c r="B37" s="65">
        <f t="shared" si="16"/>
        <v>32</v>
      </c>
      <c r="C37" s="65" t="s">
        <v>445</v>
      </c>
      <c r="D37" s="65" t="s">
        <v>51</v>
      </c>
      <c r="E37" s="65" t="s">
        <v>237</v>
      </c>
      <c r="F37" s="67">
        <v>42888</v>
      </c>
      <c r="G37" s="65">
        <v>36</v>
      </c>
      <c r="H37" s="68">
        <f t="shared" si="0"/>
        <v>5806.4516129032254</v>
      </c>
      <c r="I37" s="68">
        <f t="shared" si="11"/>
        <v>0</v>
      </c>
      <c r="J37" s="68">
        <f t="shared" si="1"/>
        <v>290.32258064516128</v>
      </c>
      <c r="K37" s="68"/>
      <c r="L37" s="68">
        <f t="shared" si="12"/>
        <v>929.0322580645161</v>
      </c>
      <c r="M37" s="68"/>
      <c r="N37" s="68">
        <f t="shared" si="26"/>
        <v>5741.4193548387093</v>
      </c>
      <c r="O37" s="68">
        <v>0</v>
      </c>
      <c r="P37" s="68">
        <v>0</v>
      </c>
      <c r="Q37" s="68">
        <v>0</v>
      </c>
      <c r="R37" s="68">
        <f t="shared" si="13"/>
        <v>12767.225806451612</v>
      </c>
      <c r="S37" s="69">
        <f t="shared" si="2"/>
        <v>696.77419354838707</v>
      </c>
      <c r="T37" s="69">
        <f t="shared" si="3"/>
        <v>224</v>
      </c>
      <c r="U37" s="68">
        <f t="shared" si="14"/>
        <v>200</v>
      </c>
      <c r="V37" s="68">
        <v>0</v>
      </c>
      <c r="W37" s="68">
        <f t="shared" si="4"/>
        <v>1120.7741935483871</v>
      </c>
      <c r="X37" s="68">
        <f t="shared" si="5"/>
        <v>11646.451612903225</v>
      </c>
      <c r="Y37" s="68">
        <v>0</v>
      </c>
      <c r="Z37" s="68">
        <f t="shared" si="15"/>
        <v>11646.451612903225</v>
      </c>
      <c r="AA37" s="69">
        <f t="shared" si="6"/>
        <v>763.54838709677415</v>
      </c>
      <c r="AB37" s="69">
        <f t="shared" si="7"/>
        <v>607</v>
      </c>
      <c r="AC37" s="70">
        <f t="shared" si="8"/>
        <v>0</v>
      </c>
      <c r="AD37" s="71">
        <f t="shared" si="27"/>
        <v>1370.5483870967741</v>
      </c>
      <c r="AE37" s="71">
        <f t="shared" si="10"/>
        <v>14137.774193548386</v>
      </c>
    </row>
    <row r="38" spans="1:31" x14ac:dyDescent="0.2">
      <c r="A38" s="64" t="s">
        <v>771</v>
      </c>
      <c r="B38" s="65">
        <f t="shared" si="16"/>
        <v>33</v>
      </c>
      <c r="C38" s="65" t="s">
        <v>990</v>
      </c>
      <c r="D38" s="65" t="s">
        <v>51</v>
      </c>
      <c r="E38" s="65" t="s">
        <v>236</v>
      </c>
      <c r="F38" s="67">
        <v>42887</v>
      </c>
      <c r="G38" s="65">
        <v>34</v>
      </c>
      <c r="H38" s="68">
        <f t="shared" si="0"/>
        <v>5483.8709677419356</v>
      </c>
      <c r="I38" s="68">
        <f t="shared" si="11"/>
        <v>0</v>
      </c>
      <c r="J38" s="68">
        <f t="shared" si="1"/>
        <v>274.19354838709677</v>
      </c>
      <c r="K38" s="68"/>
      <c r="L38" s="68">
        <f t="shared" si="12"/>
        <v>877.41935483870964</v>
      </c>
      <c r="M38" s="68"/>
      <c r="N38" s="68">
        <f t="shared" ref="N38" si="28">((2950)/G$3)*G38</f>
        <v>3235.483870967742</v>
      </c>
      <c r="O38" s="68">
        <v>0</v>
      </c>
      <c r="P38" s="68">
        <v>0</v>
      </c>
      <c r="Q38" s="68">
        <v>0</v>
      </c>
      <c r="R38" s="68">
        <f t="shared" si="13"/>
        <v>9870.967741935483</v>
      </c>
      <c r="S38" s="69">
        <f t="shared" si="2"/>
        <v>658.0645161290322</v>
      </c>
      <c r="T38" s="69">
        <f t="shared" si="3"/>
        <v>173</v>
      </c>
      <c r="U38" s="68">
        <v>0</v>
      </c>
      <c r="V38" s="68">
        <v>0</v>
      </c>
      <c r="W38" s="68">
        <f t="shared" si="4"/>
        <v>831.0645161290322</v>
      </c>
      <c r="X38" s="68">
        <f t="shared" si="5"/>
        <v>9039.9032258064508</v>
      </c>
      <c r="Y38" s="68">
        <v>0</v>
      </c>
      <c r="Z38" s="68">
        <f t="shared" si="15"/>
        <v>9039.9032258064508</v>
      </c>
      <c r="AA38" s="69">
        <f t="shared" si="6"/>
        <v>721.12903225806451</v>
      </c>
      <c r="AB38" s="69">
        <f t="shared" si="7"/>
        <v>469</v>
      </c>
      <c r="AC38" s="70">
        <f t="shared" si="8"/>
        <v>0</v>
      </c>
      <c r="AD38" s="71">
        <f t="shared" si="27"/>
        <v>1190.1290322580644</v>
      </c>
      <c r="AE38" s="71">
        <f t="shared" si="10"/>
        <v>11061.096774193547</v>
      </c>
    </row>
    <row r="39" spans="1:31" x14ac:dyDescent="0.2">
      <c r="A39" s="64" t="s">
        <v>776</v>
      </c>
      <c r="B39" s="65">
        <f t="shared" si="16"/>
        <v>34</v>
      </c>
      <c r="C39" s="65" t="s">
        <v>434</v>
      </c>
      <c r="D39" s="65" t="s">
        <v>51</v>
      </c>
      <c r="E39" s="65" t="s">
        <v>658</v>
      </c>
      <c r="F39" s="67">
        <v>42887</v>
      </c>
      <c r="G39" s="65">
        <v>25</v>
      </c>
      <c r="H39" s="68">
        <f t="shared" si="0"/>
        <v>4032.2580645161288</v>
      </c>
      <c r="I39" s="68">
        <f t="shared" si="11"/>
        <v>0</v>
      </c>
      <c r="J39" s="68">
        <f t="shared" si="1"/>
        <v>201.61290322580646</v>
      </c>
      <c r="K39" s="68"/>
      <c r="L39" s="68">
        <f t="shared" si="12"/>
        <v>645.16129032258061</v>
      </c>
      <c r="M39" s="68"/>
      <c r="N39" s="68">
        <f t="shared" ref="N39:N48" si="29">((1950+1000+611+1383)/G$3)*G39</f>
        <v>3987.0967741935478</v>
      </c>
      <c r="O39" s="68">
        <v>0</v>
      </c>
      <c r="P39" s="68">
        <v>0</v>
      </c>
      <c r="Q39" s="68">
        <v>113</v>
      </c>
      <c r="R39" s="68">
        <f t="shared" si="13"/>
        <v>8979.1290322580644</v>
      </c>
      <c r="S39" s="69">
        <f t="shared" si="2"/>
        <v>483.87096774193543</v>
      </c>
      <c r="T39" s="69">
        <f t="shared" si="3"/>
        <v>158</v>
      </c>
      <c r="U39" s="68">
        <f t="shared" si="14"/>
        <v>175</v>
      </c>
      <c r="V39" s="68">
        <v>0</v>
      </c>
      <c r="W39" s="68">
        <f t="shared" si="4"/>
        <v>816.87096774193537</v>
      </c>
      <c r="X39" s="68">
        <f t="shared" si="5"/>
        <v>8162.2580645161288</v>
      </c>
      <c r="Y39" s="68">
        <v>400</v>
      </c>
      <c r="Z39" s="68">
        <f t="shared" si="15"/>
        <v>7762.2580645161288</v>
      </c>
      <c r="AA39" s="69">
        <f t="shared" si="6"/>
        <v>530.24193548387098</v>
      </c>
      <c r="AB39" s="69">
        <f t="shared" si="7"/>
        <v>427</v>
      </c>
      <c r="AC39" s="70">
        <f t="shared" si="8"/>
        <v>0</v>
      </c>
      <c r="AD39" s="71">
        <f t="shared" si="27"/>
        <v>957.24193548387098</v>
      </c>
      <c r="AE39" s="71">
        <f t="shared" si="10"/>
        <v>9936.3709677419356</v>
      </c>
    </row>
    <row r="40" spans="1:31" x14ac:dyDescent="0.2">
      <c r="A40" s="64" t="s">
        <v>777</v>
      </c>
      <c r="B40" s="65">
        <f t="shared" si="16"/>
        <v>35</v>
      </c>
      <c r="C40" s="65" t="s">
        <v>435</v>
      </c>
      <c r="D40" s="65" t="s">
        <v>51</v>
      </c>
      <c r="E40" s="65" t="s">
        <v>658</v>
      </c>
      <c r="F40" s="67">
        <v>42887</v>
      </c>
      <c r="G40" s="65">
        <v>32</v>
      </c>
      <c r="H40" s="68">
        <f t="shared" si="0"/>
        <v>5161.2903225806449</v>
      </c>
      <c r="I40" s="68">
        <f t="shared" si="11"/>
        <v>0</v>
      </c>
      <c r="J40" s="68">
        <f t="shared" si="1"/>
        <v>258.06451612903226</v>
      </c>
      <c r="K40" s="68"/>
      <c r="L40" s="68">
        <f t="shared" si="12"/>
        <v>825.80645161290317</v>
      </c>
      <c r="M40" s="68"/>
      <c r="N40" s="68">
        <f t="shared" si="29"/>
        <v>5103.4838709677415</v>
      </c>
      <c r="O40" s="68">
        <v>0</v>
      </c>
      <c r="P40" s="68">
        <v>0</v>
      </c>
      <c r="Q40" s="68">
        <v>258</v>
      </c>
      <c r="R40" s="68">
        <f t="shared" si="13"/>
        <v>11606.645161290322</v>
      </c>
      <c r="S40" s="69">
        <f t="shared" si="2"/>
        <v>619.35483870967732</v>
      </c>
      <c r="T40" s="69">
        <f t="shared" si="3"/>
        <v>204</v>
      </c>
      <c r="U40" s="68">
        <f t="shared" si="14"/>
        <v>200</v>
      </c>
      <c r="V40" s="68">
        <v>0</v>
      </c>
      <c r="W40" s="68">
        <f t="shared" si="4"/>
        <v>1023.3548387096773</v>
      </c>
      <c r="X40" s="68">
        <f t="shared" si="5"/>
        <v>10583.290322580644</v>
      </c>
      <c r="Y40" s="68">
        <v>0</v>
      </c>
      <c r="Z40" s="68">
        <f t="shared" si="15"/>
        <v>10583.290322580644</v>
      </c>
      <c r="AA40" s="69">
        <f t="shared" si="6"/>
        <v>678.70967741935488</v>
      </c>
      <c r="AB40" s="69">
        <f t="shared" si="7"/>
        <v>552</v>
      </c>
      <c r="AC40" s="70">
        <f t="shared" si="8"/>
        <v>0</v>
      </c>
      <c r="AD40" s="71">
        <f t="shared" si="27"/>
        <v>1230.7096774193549</v>
      </c>
      <c r="AE40" s="71">
        <f t="shared" si="10"/>
        <v>12837.354838709676</v>
      </c>
    </row>
    <row r="41" spans="1:31" x14ac:dyDescent="0.2">
      <c r="A41" s="64" t="s">
        <v>778</v>
      </c>
      <c r="B41" s="65">
        <f t="shared" si="16"/>
        <v>36</v>
      </c>
      <c r="C41" s="65" t="s">
        <v>436</v>
      </c>
      <c r="D41" s="65" t="s">
        <v>51</v>
      </c>
      <c r="E41" s="65" t="s">
        <v>658</v>
      </c>
      <c r="F41" s="67">
        <v>42887</v>
      </c>
      <c r="G41" s="65">
        <v>35</v>
      </c>
      <c r="H41" s="68">
        <f t="shared" si="0"/>
        <v>5645.1612903225805</v>
      </c>
      <c r="I41" s="68">
        <f t="shared" si="11"/>
        <v>0</v>
      </c>
      <c r="J41" s="68">
        <f t="shared" si="1"/>
        <v>282.25806451612902</v>
      </c>
      <c r="K41" s="68"/>
      <c r="L41" s="68">
        <f t="shared" si="12"/>
        <v>903.22580645161281</v>
      </c>
      <c r="M41" s="68"/>
      <c r="N41" s="68">
        <f t="shared" si="29"/>
        <v>5581.9354838709669</v>
      </c>
      <c r="O41" s="68">
        <v>0</v>
      </c>
      <c r="P41" s="68">
        <v>0</v>
      </c>
      <c r="Q41" s="68">
        <v>1000</v>
      </c>
      <c r="R41" s="68">
        <f t="shared" si="13"/>
        <v>13412.580645161288</v>
      </c>
      <c r="S41" s="69">
        <f t="shared" si="2"/>
        <v>677.41935483870964</v>
      </c>
      <c r="T41" s="69">
        <f t="shared" si="3"/>
        <v>235</v>
      </c>
      <c r="U41" s="68">
        <f t="shared" si="14"/>
        <v>200</v>
      </c>
      <c r="V41" s="68">
        <v>0</v>
      </c>
      <c r="W41" s="68">
        <f t="shared" si="4"/>
        <v>1112.4193548387098</v>
      </c>
      <c r="X41" s="68">
        <f t="shared" si="5"/>
        <v>12300.161290322578</v>
      </c>
      <c r="Y41" s="68">
        <v>0</v>
      </c>
      <c r="Z41" s="68">
        <f t="shared" si="15"/>
        <v>12300.161290322578</v>
      </c>
      <c r="AA41" s="69">
        <f t="shared" si="6"/>
        <v>742.33870967741939</v>
      </c>
      <c r="AB41" s="69">
        <f t="shared" si="7"/>
        <v>638</v>
      </c>
      <c r="AC41" s="70">
        <f t="shared" si="8"/>
        <v>0</v>
      </c>
      <c r="AD41" s="71">
        <f t="shared" si="27"/>
        <v>1380.3387096774195</v>
      </c>
      <c r="AE41" s="71">
        <f t="shared" si="10"/>
        <v>14792.919354838708</v>
      </c>
    </row>
    <row r="42" spans="1:31" x14ac:dyDescent="0.2">
      <c r="A42" s="64" t="s">
        <v>779</v>
      </c>
      <c r="B42" s="65">
        <f t="shared" si="16"/>
        <v>37</v>
      </c>
      <c r="C42" s="65" t="s">
        <v>449</v>
      </c>
      <c r="D42" s="65" t="s">
        <v>51</v>
      </c>
      <c r="E42" s="65" t="s">
        <v>237</v>
      </c>
      <c r="F42" s="67">
        <v>42888</v>
      </c>
      <c r="G42" s="65">
        <v>32</v>
      </c>
      <c r="H42" s="68">
        <f t="shared" si="0"/>
        <v>5161.2903225806449</v>
      </c>
      <c r="I42" s="68">
        <f t="shared" si="11"/>
        <v>0</v>
      </c>
      <c r="J42" s="68">
        <f t="shared" si="1"/>
        <v>258.06451612903226</v>
      </c>
      <c r="K42" s="68"/>
      <c r="L42" s="68">
        <f t="shared" si="12"/>
        <v>825.80645161290317</v>
      </c>
      <c r="M42" s="68"/>
      <c r="N42" s="68">
        <f t="shared" si="29"/>
        <v>5103.4838709677415</v>
      </c>
      <c r="O42" s="68">
        <v>0</v>
      </c>
      <c r="P42" s="68">
        <v>0</v>
      </c>
      <c r="Q42" s="68">
        <v>0</v>
      </c>
      <c r="R42" s="68">
        <f t="shared" si="13"/>
        <v>11348.645161290322</v>
      </c>
      <c r="S42" s="69">
        <f t="shared" si="2"/>
        <v>619.35483870967732</v>
      </c>
      <c r="T42" s="69">
        <f t="shared" si="3"/>
        <v>199</v>
      </c>
      <c r="U42" s="68">
        <f t="shared" si="14"/>
        <v>200</v>
      </c>
      <c r="V42" s="68">
        <v>0</v>
      </c>
      <c r="W42" s="68">
        <f t="shared" si="4"/>
        <v>1018.3548387096773</v>
      </c>
      <c r="X42" s="68">
        <f t="shared" si="5"/>
        <v>10330.290322580644</v>
      </c>
      <c r="Y42" s="68">
        <v>0</v>
      </c>
      <c r="Z42" s="68">
        <f t="shared" si="15"/>
        <v>10330.290322580644</v>
      </c>
      <c r="AA42" s="69">
        <f t="shared" si="6"/>
        <v>678.70967741935488</v>
      </c>
      <c r="AB42" s="69">
        <f t="shared" si="7"/>
        <v>540</v>
      </c>
      <c r="AC42" s="70">
        <f t="shared" si="8"/>
        <v>0</v>
      </c>
      <c r="AD42" s="71">
        <f t="shared" si="27"/>
        <v>1218.7096774193549</v>
      </c>
      <c r="AE42" s="71">
        <f t="shared" si="10"/>
        <v>12567.354838709676</v>
      </c>
    </row>
    <row r="43" spans="1:31" x14ac:dyDescent="0.2">
      <c r="A43" s="64" t="s">
        <v>781</v>
      </c>
      <c r="B43" s="65">
        <f t="shared" si="16"/>
        <v>38</v>
      </c>
      <c r="C43" s="65" t="s">
        <v>451</v>
      </c>
      <c r="D43" s="65" t="s">
        <v>51</v>
      </c>
      <c r="E43" s="65" t="s">
        <v>237</v>
      </c>
      <c r="F43" s="67">
        <v>42893</v>
      </c>
      <c r="G43" s="65">
        <v>28</v>
      </c>
      <c r="H43" s="68">
        <f t="shared" si="0"/>
        <v>4516.1290322580644</v>
      </c>
      <c r="I43" s="68">
        <f t="shared" si="11"/>
        <v>0</v>
      </c>
      <c r="J43" s="68">
        <f t="shared" si="1"/>
        <v>225.80645161290323</v>
      </c>
      <c r="K43" s="68"/>
      <c r="L43" s="68">
        <f t="shared" si="12"/>
        <v>722.58064516129025</v>
      </c>
      <c r="M43" s="68"/>
      <c r="N43" s="68">
        <f t="shared" si="29"/>
        <v>4465.5483870967737</v>
      </c>
      <c r="O43" s="68">
        <v>0</v>
      </c>
      <c r="P43" s="68">
        <v>0</v>
      </c>
      <c r="Q43" s="68">
        <v>0</v>
      </c>
      <c r="R43" s="68">
        <f t="shared" si="13"/>
        <v>9930.0645161290304</v>
      </c>
      <c r="S43" s="69">
        <f t="shared" si="2"/>
        <v>541.93548387096769</v>
      </c>
      <c r="T43" s="69">
        <f t="shared" si="3"/>
        <v>174</v>
      </c>
      <c r="U43" s="68">
        <f t="shared" si="14"/>
        <v>175</v>
      </c>
      <c r="V43" s="68">
        <v>0</v>
      </c>
      <c r="W43" s="68">
        <f t="shared" si="4"/>
        <v>890.93548387096769</v>
      </c>
      <c r="X43" s="68">
        <f t="shared" si="5"/>
        <v>9039.1290322580626</v>
      </c>
      <c r="Y43" s="68">
        <v>0</v>
      </c>
      <c r="Z43" s="68">
        <f t="shared" si="15"/>
        <v>9039.1290322580626</v>
      </c>
      <c r="AA43" s="69">
        <f t="shared" si="6"/>
        <v>593.87096774193549</v>
      </c>
      <c r="AB43" s="69">
        <f t="shared" si="7"/>
        <v>472</v>
      </c>
      <c r="AC43" s="70">
        <f t="shared" si="8"/>
        <v>0</v>
      </c>
      <c r="AD43" s="71">
        <f t="shared" si="27"/>
        <v>1065.8709677419356</v>
      </c>
      <c r="AE43" s="71">
        <f t="shared" si="10"/>
        <v>10995.935483870966</v>
      </c>
    </row>
    <row r="44" spans="1:31" x14ac:dyDescent="0.2">
      <c r="A44" s="64" t="s">
        <v>785</v>
      </c>
      <c r="B44" s="65">
        <f t="shared" si="16"/>
        <v>39</v>
      </c>
      <c r="C44" s="65" t="s">
        <v>455</v>
      </c>
      <c r="D44" s="65" t="s">
        <v>51</v>
      </c>
      <c r="E44" s="65" t="s">
        <v>658</v>
      </c>
      <c r="F44" s="67">
        <v>42896</v>
      </c>
      <c r="G44" s="65">
        <v>26</v>
      </c>
      <c r="H44" s="68">
        <f t="shared" si="0"/>
        <v>4193.5483870967737</v>
      </c>
      <c r="I44" s="68">
        <f t="shared" si="11"/>
        <v>0</v>
      </c>
      <c r="J44" s="68">
        <f t="shared" si="1"/>
        <v>209.67741935483869</v>
      </c>
      <c r="K44" s="68"/>
      <c r="L44" s="68">
        <f t="shared" si="12"/>
        <v>670.96774193548379</v>
      </c>
      <c r="M44" s="68"/>
      <c r="N44" s="68">
        <f t="shared" si="29"/>
        <v>4146.5806451612898</v>
      </c>
      <c r="O44" s="68">
        <v>0</v>
      </c>
      <c r="P44" s="68">
        <v>0</v>
      </c>
      <c r="Q44" s="68">
        <v>0</v>
      </c>
      <c r="R44" s="68">
        <f t="shared" si="13"/>
        <v>9220.7741935483864</v>
      </c>
      <c r="S44" s="69">
        <f t="shared" si="2"/>
        <v>503.22580645161281</v>
      </c>
      <c r="T44" s="69">
        <f t="shared" si="3"/>
        <v>162</v>
      </c>
      <c r="U44" s="68">
        <f t="shared" si="14"/>
        <v>175</v>
      </c>
      <c r="V44" s="68">
        <v>0</v>
      </c>
      <c r="W44" s="68">
        <f t="shared" si="4"/>
        <v>840.22580645161281</v>
      </c>
      <c r="X44" s="68">
        <f t="shared" si="5"/>
        <v>8380.5483870967728</v>
      </c>
      <c r="Y44" s="68">
        <v>400</v>
      </c>
      <c r="Z44" s="68">
        <f t="shared" si="15"/>
        <v>7980.5483870967728</v>
      </c>
      <c r="AA44" s="69">
        <f t="shared" si="6"/>
        <v>551.45161290322574</v>
      </c>
      <c r="AB44" s="69">
        <f t="shared" si="7"/>
        <v>438</v>
      </c>
      <c r="AC44" s="70">
        <f t="shared" si="8"/>
        <v>0</v>
      </c>
      <c r="AD44" s="71">
        <f t="shared" si="27"/>
        <v>989.45161290322574</v>
      </c>
      <c r="AE44" s="71">
        <f t="shared" si="10"/>
        <v>10210.225806451612</v>
      </c>
    </row>
    <row r="45" spans="1:31" x14ac:dyDescent="0.2">
      <c r="A45" s="64" t="s">
        <v>786</v>
      </c>
      <c r="B45" s="65">
        <f t="shared" si="16"/>
        <v>40</v>
      </c>
      <c r="C45" s="65" t="s">
        <v>456</v>
      </c>
      <c r="D45" s="65" t="s">
        <v>51</v>
      </c>
      <c r="E45" s="65" t="s">
        <v>658</v>
      </c>
      <c r="F45" s="67">
        <v>42896</v>
      </c>
      <c r="G45" s="65">
        <v>27</v>
      </c>
      <c r="H45" s="68">
        <f t="shared" si="0"/>
        <v>4354.8387096774195</v>
      </c>
      <c r="I45" s="68">
        <f t="shared" si="11"/>
        <v>0</v>
      </c>
      <c r="J45" s="68">
        <f t="shared" si="1"/>
        <v>217.74193548387098</v>
      </c>
      <c r="K45" s="68"/>
      <c r="L45" s="68">
        <f t="shared" si="12"/>
        <v>696.77419354838707</v>
      </c>
      <c r="M45" s="68"/>
      <c r="N45" s="68">
        <f t="shared" si="29"/>
        <v>4306.0645161290322</v>
      </c>
      <c r="O45" s="68">
        <v>0</v>
      </c>
      <c r="P45" s="68">
        <v>0</v>
      </c>
      <c r="Q45" s="68">
        <v>0</v>
      </c>
      <c r="R45" s="68">
        <f t="shared" si="13"/>
        <v>9575.4193548387102</v>
      </c>
      <c r="S45" s="69">
        <f t="shared" si="2"/>
        <v>522.58064516129036</v>
      </c>
      <c r="T45" s="69">
        <f t="shared" si="3"/>
        <v>168</v>
      </c>
      <c r="U45" s="68">
        <f t="shared" si="14"/>
        <v>175</v>
      </c>
      <c r="V45" s="68">
        <v>0</v>
      </c>
      <c r="W45" s="68">
        <f t="shared" si="4"/>
        <v>865.58064516129036</v>
      </c>
      <c r="X45" s="68">
        <f t="shared" si="5"/>
        <v>8709.8387096774204</v>
      </c>
      <c r="Y45" s="68">
        <v>400</v>
      </c>
      <c r="Z45" s="68">
        <f t="shared" si="15"/>
        <v>8309.8387096774204</v>
      </c>
      <c r="AA45" s="69">
        <f t="shared" si="6"/>
        <v>572.66129032258073</v>
      </c>
      <c r="AB45" s="69">
        <f t="shared" si="7"/>
        <v>455</v>
      </c>
      <c r="AC45" s="70">
        <f t="shared" si="8"/>
        <v>0</v>
      </c>
      <c r="AD45" s="71">
        <f t="shared" si="27"/>
        <v>1027.6612903225807</v>
      </c>
      <c r="AE45" s="71">
        <f t="shared" si="10"/>
        <v>10603.080645161292</v>
      </c>
    </row>
    <row r="46" spans="1:31" x14ac:dyDescent="0.2">
      <c r="A46" s="64" t="s">
        <v>787</v>
      </c>
      <c r="B46" s="65">
        <f t="shared" si="16"/>
        <v>41</v>
      </c>
      <c r="C46" s="65" t="s">
        <v>457</v>
      </c>
      <c r="D46" s="65" t="s">
        <v>51</v>
      </c>
      <c r="E46" s="65" t="s">
        <v>658</v>
      </c>
      <c r="F46" s="67">
        <v>42896</v>
      </c>
      <c r="G46" s="65">
        <v>19</v>
      </c>
      <c r="H46" s="68">
        <f t="shared" si="0"/>
        <v>3064.516129032258</v>
      </c>
      <c r="I46" s="68">
        <f t="shared" si="11"/>
        <v>0</v>
      </c>
      <c r="J46" s="68">
        <f t="shared" si="1"/>
        <v>153.2258064516129</v>
      </c>
      <c r="K46" s="68"/>
      <c r="L46" s="68">
        <f t="shared" si="12"/>
        <v>490.32258064516128</v>
      </c>
      <c r="M46" s="68"/>
      <c r="N46" s="68">
        <f t="shared" si="29"/>
        <v>3030.1935483870966</v>
      </c>
      <c r="O46" s="68">
        <v>0</v>
      </c>
      <c r="P46" s="68">
        <v>0</v>
      </c>
      <c r="Q46" s="68">
        <v>0</v>
      </c>
      <c r="R46" s="68">
        <f t="shared" si="13"/>
        <v>6738.2580645161288</v>
      </c>
      <c r="S46" s="69">
        <f t="shared" si="2"/>
        <v>367.74193548387098</v>
      </c>
      <c r="T46" s="69">
        <f t="shared" si="3"/>
        <v>118</v>
      </c>
      <c r="U46" s="68">
        <f t="shared" si="14"/>
        <v>0</v>
      </c>
      <c r="V46" s="68">
        <v>0</v>
      </c>
      <c r="W46" s="68">
        <f t="shared" si="4"/>
        <v>485.74193548387098</v>
      </c>
      <c r="X46" s="68">
        <f t="shared" si="5"/>
        <v>6252.5161290322576</v>
      </c>
      <c r="Y46" s="68">
        <v>400</v>
      </c>
      <c r="Z46" s="68">
        <f t="shared" si="15"/>
        <v>5852.5161290322576</v>
      </c>
      <c r="AA46" s="69">
        <f t="shared" si="6"/>
        <v>402.98387096774195</v>
      </c>
      <c r="AB46" s="69">
        <f t="shared" si="7"/>
        <v>321</v>
      </c>
      <c r="AC46" s="70">
        <f t="shared" si="8"/>
        <v>0</v>
      </c>
      <c r="AD46" s="71">
        <f t="shared" si="27"/>
        <v>723.98387096774195</v>
      </c>
      <c r="AE46" s="71">
        <f t="shared" si="10"/>
        <v>7462.2419354838712</v>
      </c>
    </row>
    <row r="47" spans="1:31" x14ac:dyDescent="0.2">
      <c r="A47" s="64" t="s">
        <v>788</v>
      </c>
      <c r="B47" s="65">
        <f t="shared" si="16"/>
        <v>42</v>
      </c>
      <c r="C47" s="65" t="s">
        <v>458</v>
      </c>
      <c r="D47" s="65" t="s">
        <v>51</v>
      </c>
      <c r="E47" s="65" t="s">
        <v>658</v>
      </c>
      <c r="F47" s="67">
        <v>42896</v>
      </c>
      <c r="G47" s="65">
        <v>27</v>
      </c>
      <c r="H47" s="68">
        <f t="shared" si="0"/>
        <v>4354.8387096774195</v>
      </c>
      <c r="I47" s="68">
        <f t="shared" si="11"/>
        <v>0</v>
      </c>
      <c r="J47" s="68">
        <f t="shared" si="1"/>
        <v>217.74193548387098</v>
      </c>
      <c r="K47" s="68"/>
      <c r="L47" s="68">
        <f t="shared" si="12"/>
        <v>696.77419354838707</v>
      </c>
      <c r="M47" s="68"/>
      <c r="N47" s="68">
        <f t="shared" si="29"/>
        <v>4306.0645161290322</v>
      </c>
      <c r="O47" s="68">
        <v>0</v>
      </c>
      <c r="P47" s="68">
        <v>0</v>
      </c>
      <c r="Q47" s="68">
        <v>0</v>
      </c>
      <c r="R47" s="68">
        <f t="shared" si="13"/>
        <v>9575.4193548387102</v>
      </c>
      <c r="S47" s="69">
        <f t="shared" si="2"/>
        <v>522.58064516129036</v>
      </c>
      <c r="T47" s="69">
        <f t="shared" si="3"/>
        <v>168</v>
      </c>
      <c r="U47" s="68">
        <f t="shared" si="14"/>
        <v>175</v>
      </c>
      <c r="V47" s="68">
        <v>0</v>
      </c>
      <c r="W47" s="68">
        <f t="shared" si="4"/>
        <v>865.58064516129036</v>
      </c>
      <c r="X47" s="68">
        <f t="shared" si="5"/>
        <v>8709.8387096774204</v>
      </c>
      <c r="Y47" s="68">
        <v>400</v>
      </c>
      <c r="Z47" s="68">
        <f t="shared" si="15"/>
        <v>8309.8387096774204</v>
      </c>
      <c r="AA47" s="69">
        <f t="shared" si="6"/>
        <v>572.66129032258073</v>
      </c>
      <c r="AB47" s="69">
        <f t="shared" si="7"/>
        <v>455</v>
      </c>
      <c r="AC47" s="70">
        <f t="shared" si="8"/>
        <v>0</v>
      </c>
      <c r="AD47" s="71">
        <f t="shared" si="27"/>
        <v>1027.6612903225807</v>
      </c>
      <c r="AE47" s="71">
        <f t="shared" si="10"/>
        <v>10603.080645161292</v>
      </c>
    </row>
    <row r="48" spans="1:31" x14ac:dyDescent="0.2">
      <c r="A48" s="64" t="s">
        <v>796</v>
      </c>
      <c r="B48" s="65">
        <f t="shared" si="16"/>
        <v>43</v>
      </c>
      <c r="C48" s="65" t="s">
        <v>465</v>
      </c>
      <c r="D48" s="65" t="s">
        <v>51</v>
      </c>
      <c r="E48" s="65" t="s">
        <v>658</v>
      </c>
      <c r="F48" s="67">
        <v>42912</v>
      </c>
      <c r="G48" s="65">
        <v>33</v>
      </c>
      <c r="H48" s="68">
        <f t="shared" si="0"/>
        <v>5322.5806451612898</v>
      </c>
      <c r="I48" s="68">
        <f t="shared" si="11"/>
        <v>0</v>
      </c>
      <c r="J48" s="68">
        <f t="shared" si="1"/>
        <v>266.12903225806451</v>
      </c>
      <c r="K48" s="68"/>
      <c r="L48" s="68">
        <f t="shared" si="12"/>
        <v>851.61290322580635</v>
      </c>
      <c r="M48" s="68"/>
      <c r="N48" s="68">
        <f t="shared" si="29"/>
        <v>5262.967741935483</v>
      </c>
      <c r="O48" s="68">
        <v>0</v>
      </c>
      <c r="P48" s="68">
        <v>0</v>
      </c>
      <c r="Q48" s="68">
        <v>1000</v>
      </c>
      <c r="R48" s="68">
        <f t="shared" si="13"/>
        <v>12703.290322580644</v>
      </c>
      <c r="S48" s="69">
        <f t="shared" si="2"/>
        <v>638.70967741935476</v>
      </c>
      <c r="T48" s="69">
        <f t="shared" si="3"/>
        <v>223</v>
      </c>
      <c r="U48" s="68">
        <f t="shared" si="14"/>
        <v>200</v>
      </c>
      <c r="V48" s="68">
        <v>0</v>
      </c>
      <c r="W48" s="68">
        <f t="shared" si="4"/>
        <v>1061.7096774193546</v>
      </c>
      <c r="X48" s="68">
        <f t="shared" si="5"/>
        <v>11641.58064516129</v>
      </c>
      <c r="Y48" s="68">
        <v>0</v>
      </c>
      <c r="Z48" s="68">
        <f t="shared" si="15"/>
        <v>11641.58064516129</v>
      </c>
      <c r="AA48" s="69">
        <f t="shared" si="6"/>
        <v>699.91935483870964</v>
      </c>
      <c r="AB48" s="69">
        <f t="shared" si="7"/>
        <v>604</v>
      </c>
      <c r="AC48" s="70">
        <f t="shared" si="8"/>
        <v>0</v>
      </c>
      <c r="AD48" s="71">
        <f t="shared" si="27"/>
        <v>1303.9193548387098</v>
      </c>
      <c r="AE48" s="71">
        <f t="shared" si="10"/>
        <v>14007.209677419354</v>
      </c>
    </row>
    <row r="49" spans="1:31" x14ac:dyDescent="0.2">
      <c r="A49" s="64" t="s">
        <v>798</v>
      </c>
      <c r="B49" s="65">
        <f t="shared" si="16"/>
        <v>44</v>
      </c>
      <c r="C49" s="65" t="s">
        <v>438</v>
      </c>
      <c r="D49" s="65" t="s">
        <v>51</v>
      </c>
      <c r="E49" s="65" t="s">
        <v>662</v>
      </c>
      <c r="F49" s="67">
        <v>42915</v>
      </c>
      <c r="G49" s="65">
        <v>35</v>
      </c>
      <c r="H49" s="68">
        <f t="shared" si="0"/>
        <v>5645.1612903225805</v>
      </c>
      <c r="I49" s="68">
        <f t="shared" si="11"/>
        <v>0</v>
      </c>
      <c r="J49" s="68">
        <f t="shared" si="1"/>
        <v>282.25806451612902</v>
      </c>
      <c r="K49" s="68"/>
      <c r="L49" s="68">
        <f t="shared" si="12"/>
        <v>903.22580645161281</v>
      </c>
      <c r="M49" s="68"/>
      <c r="N49" s="68">
        <f>((2950+6000)/G$3)*G49</f>
        <v>10104.838709677419</v>
      </c>
      <c r="O49" s="68">
        <v>0</v>
      </c>
      <c r="P49" s="68">
        <v>0</v>
      </c>
      <c r="Q49" s="68">
        <v>0</v>
      </c>
      <c r="R49" s="68">
        <f t="shared" si="13"/>
        <v>16935.483870967742</v>
      </c>
      <c r="S49" s="69">
        <f t="shared" si="2"/>
        <v>677.41935483870964</v>
      </c>
      <c r="T49" s="69">
        <f t="shared" si="3"/>
        <v>297</v>
      </c>
      <c r="U49" s="68">
        <f t="shared" si="14"/>
        <v>200</v>
      </c>
      <c r="V49" s="68">
        <v>0</v>
      </c>
      <c r="W49" s="68">
        <f t="shared" si="4"/>
        <v>1174.4193548387098</v>
      </c>
      <c r="X49" s="68">
        <f t="shared" si="5"/>
        <v>15761.064516129032</v>
      </c>
      <c r="Y49" s="68">
        <v>0</v>
      </c>
      <c r="Z49" s="68">
        <f t="shared" si="15"/>
        <v>15761.064516129032</v>
      </c>
      <c r="AA49" s="69">
        <f t="shared" si="6"/>
        <v>742.33870967741939</v>
      </c>
      <c r="AB49" s="69">
        <f t="shared" si="7"/>
        <v>805</v>
      </c>
      <c r="AC49" s="70">
        <f t="shared" si="8"/>
        <v>0</v>
      </c>
      <c r="AD49" s="71">
        <f t="shared" si="27"/>
        <v>1547.3387096774195</v>
      </c>
      <c r="AE49" s="71">
        <f t="shared" si="10"/>
        <v>18482.822580645163</v>
      </c>
    </row>
    <row r="50" spans="1:31" x14ac:dyDescent="0.2">
      <c r="A50" s="64" t="s">
        <v>799</v>
      </c>
      <c r="B50" s="65">
        <f t="shared" si="16"/>
        <v>45</v>
      </c>
      <c r="C50" s="65" t="s">
        <v>466</v>
      </c>
      <c r="D50" s="65" t="s">
        <v>51</v>
      </c>
      <c r="E50" s="65" t="s">
        <v>581</v>
      </c>
      <c r="F50" s="67">
        <v>42907</v>
      </c>
      <c r="G50" s="65">
        <v>36</v>
      </c>
      <c r="H50" s="68">
        <f t="shared" si="0"/>
        <v>5806.4516129032254</v>
      </c>
      <c r="I50" s="68">
        <f t="shared" si="11"/>
        <v>0</v>
      </c>
      <c r="J50" s="68">
        <f t="shared" si="1"/>
        <v>290.32258064516128</v>
      </c>
      <c r="K50" s="68"/>
      <c r="L50" s="68">
        <f t="shared" si="12"/>
        <v>929.0322580645161</v>
      </c>
      <c r="M50" s="68"/>
      <c r="N50" s="68">
        <f>((2950+3000)/G$3)*G50</f>
        <v>6909.677419354839</v>
      </c>
      <c r="O50" s="68">
        <v>0</v>
      </c>
      <c r="P50" s="68">
        <v>0</v>
      </c>
      <c r="Q50" s="68">
        <v>1000</v>
      </c>
      <c r="R50" s="68">
        <f t="shared" si="13"/>
        <v>14935.483870967742</v>
      </c>
      <c r="S50" s="69">
        <f t="shared" si="2"/>
        <v>696.77419354838707</v>
      </c>
      <c r="T50" s="69">
        <f t="shared" si="3"/>
        <v>262</v>
      </c>
      <c r="U50" s="68">
        <f t="shared" si="14"/>
        <v>200</v>
      </c>
      <c r="V50" s="68">
        <v>0</v>
      </c>
      <c r="W50" s="68">
        <f t="shared" si="4"/>
        <v>1158.7741935483871</v>
      </c>
      <c r="X50" s="68">
        <f t="shared" si="5"/>
        <v>13776.709677419356</v>
      </c>
      <c r="Y50" s="68">
        <v>0</v>
      </c>
      <c r="Z50" s="68">
        <f t="shared" si="15"/>
        <v>13776.709677419356</v>
      </c>
      <c r="AA50" s="69">
        <f t="shared" si="6"/>
        <v>763.54838709677415</v>
      </c>
      <c r="AB50" s="69">
        <f t="shared" si="7"/>
        <v>710</v>
      </c>
      <c r="AC50" s="70">
        <f t="shared" si="8"/>
        <v>0</v>
      </c>
      <c r="AD50" s="71">
        <f t="shared" si="27"/>
        <v>1473.5483870967741</v>
      </c>
      <c r="AE50" s="71">
        <f t="shared" si="10"/>
        <v>16409.032258064515</v>
      </c>
    </row>
    <row r="51" spans="1:31" x14ac:dyDescent="0.2">
      <c r="A51" s="64" t="s">
        <v>840</v>
      </c>
      <c r="B51" s="65">
        <f t="shared" si="16"/>
        <v>46</v>
      </c>
      <c r="C51" s="65" t="s">
        <v>670</v>
      </c>
      <c r="D51" s="65" t="s">
        <v>51</v>
      </c>
      <c r="E51" s="65" t="s">
        <v>658</v>
      </c>
      <c r="F51" s="67">
        <v>42917</v>
      </c>
      <c r="G51" s="65">
        <f>22-3</f>
        <v>19</v>
      </c>
      <c r="H51" s="68">
        <f t="shared" si="0"/>
        <v>3064.516129032258</v>
      </c>
      <c r="I51" s="68">
        <f t="shared" si="11"/>
        <v>0</v>
      </c>
      <c r="J51" s="68">
        <f t="shared" si="1"/>
        <v>153.2258064516129</v>
      </c>
      <c r="K51" s="68"/>
      <c r="L51" s="68">
        <f t="shared" si="12"/>
        <v>490.32258064516128</v>
      </c>
      <c r="M51" s="68"/>
      <c r="N51" s="68">
        <f t="shared" ref="N51:N62" si="30">((1950+1000+611+1383)/G$3)*G51</f>
        <v>3030.1935483870966</v>
      </c>
      <c r="O51" s="68">
        <v>0</v>
      </c>
      <c r="P51" s="68">
        <v>0</v>
      </c>
      <c r="Q51" s="68">
        <v>0</v>
      </c>
      <c r="R51" s="68">
        <f t="shared" si="13"/>
        <v>6738.2580645161288</v>
      </c>
      <c r="S51" s="69">
        <f t="shared" si="2"/>
        <v>367.74193548387098</v>
      </c>
      <c r="T51" s="69">
        <f t="shared" si="3"/>
        <v>118</v>
      </c>
      <c r="U51" s="68">
        <f t="shared" si="14"/>
        <v>0</v>
      </c>
      <c r="V51" s="68">
        <v>0</v>
      </c>
      <c r="W51" s="68">
        <f t="shared" si="4"/>
        <v>485.74193548387098</v>
      </c>
      <c r="X51" s="68">
        <f t="shared" si="5"/>
        <v>6252.5161290322576</v>
      </c>
      <c r="Y51" s="68">
        <v>0</v>
      </c>
      <c r="Z51" s="68">
        <f t="shared" si="15"/>
        <v>6252.5161290322576</v>
      </c>
      <c r="AA51" s="69">
        <f t="shared" si="6"/>
        <v>402.98387096774195</v>
      </c>
      <c r="AB51" s="69">
        <f t="shared" si="7"/>
        <v>321</v>
      </c>
      <c r="AC51" s="70">
        <f t="shared" si="8"/>
        <v>0</v>
      </c>
      <c r="AD51" s="71">
        <f t="shared" si="27"/>
        <v>723.98387096774195</v>
      </c>
      <c r="AE51" s="71">
        <f t="shared" si="10"/>
        <v>7462.2419354838712</v>
      </c>
    </row>
    <row r="52" spans="1:31" x14ac:dyDescent="0.2">
      <c r="A52" s="64" t="s">
        <v>841</v>
      </c>
      <c r="B52" s="65">
        <f t="shared" si="16"/>
        <v>47</v>
      </c>
      <c r="C52" s="65" t="s">
        <v>671</v>
      </c>
      <c r="D52" s="65" t="s">
        <v>51</v>
      </c>
      <c r="E52" s="65" t="s">
        <v>658</v>
      </c>
      <c r="F52" s="67">
        <v>42917</v>
      </c>
      <c r="G52" s="65">
        <v>32</v>
      </c>
      <c r="H52" s="68">
        <f t="shared" si="0"/>
        <v>5161.2903225806449</v>
      </c>
      <c r="I52" s="68">
        <f t="shared" si="11"/>
        <v>0</v>
      </c>
      <c r="J52" s="68">
        <f t="shared" si="1"/>
        <v>258.06451612903226</v>
      </c>
      <c r="K52" s="68"/>
      <c r="L52" s="68">
        <f t="shared" si="12"/>
        <v>825.80645161290317</v>
      </c>
      <c r="M52" s="68"/>
      <c r="N52" s="68">
        <f t="shared" si="30"/>
        <v>5103.4838709677415</v>
      </c>
      <c r="O52" s="68">
        <v>0</v>
      </c>
      <c r="P52" s="68">
        <v>0</v>
      </c>
      <c r="Q52" s="68">
        <v>0</v>
      </c>
      <c r="R52" s="68">
        <f t="shared" si="13"/>
        <v>11348.645161290322</v>
      </c>
      <c r="S52" s="69">
        <f t="shared" si="2"/>
        <v>619.35483870967732</v>
      </c>
      <c r="T52" s="69">
        <f t="shared" si="3"/>
        <v>199</v>
      </c>
      <c r="U52" s="68">
        <f t="shared" si="14"/>
        <v>200</v>
      </c>
      <c r="V52" s="68">
        <v>0</v>
      </c>
      <c r="W52" s="68">
        <f t="shared" si="4"/>
        <v>1018.3548387096773</v>
      </c>
      <c r="X52" s="68">
        <f t="shared" si="5"/>
        <v>10330.290322580644</v>
      </c>
      <c r="Y52" s="68">
        <v>0</v>
      </c>
      <c r="Z52" s="68">
        <f t="shared" si="15"/>
        <v>10330.290322580644</v>
      </c>
      <c r="AA52" s="69">
        <f t="shared" si="6"/>
        <v>678.70967741935488</v>
      </c>
      <c r="AB52" s="69">
        <f t="shared" si="7"/>
        <v>540</v>
      </c>
      <c r="AC52" s="70">
        <f t="shared" si="8"/>
        <v>0</v>
      </c>
      <c r="AD52" s="71">
        <f t="shared" si="27"/>
        <v>1218.7096774193549</v>
      </c>
      <c r="AE52" s="71">
        <f t="shared" si="10"/>
        <v>12567.354838709676</v>
      </c>
    </row>
    <row r="53" spans="1:31" x14ac:dyDescent="0.2">
      <c r="A53" s="64" t="s">
        <v>842</v>
      </c>
      <c r="B53" s="65">
        <f t="shared" si="16"/>
        <v>48</v>
      </c>
      <c r="C53" s="65" t="s">
        <v>672</v>
      </c>
      <c r="D53" s="65" t="s">
        <v>51</v>
      </c>
      <c r="E53" s="66" t="s">
        <v>581</v>
      </c>
      <c r="F53" s="67">
        <v>42917</v>
      </c>
      <c r="G53" s="65">
        <v>37</v>
      </c>
      <c r="H53" s="68">
        <f t="shared" si="0"/>
        <v>5967.7419354838703</v>
      </c>
      <c r="I53" s="68">
        <f t="shared" si="11"/>
        <v>0</v>
      </c>
      <c r="J53" s="68">
        <f t="shared" si="1"/>
        <v>298.38709677419354</v>
      </c>
      <c r="K53" s="68"/>
      <c r="L53" s="68">
        <f t="shared" si="12"/>
        <v>954.83870967741927</v>
      </c>
      <c r="M53" s="68"/>
      <c r="N53" s="68">
        <f t="shared" si="30"/>
        <v>5900.9032258064508</v>
      </c>
      <c r="O53" s="68">
        <v>0</v>
      </c>
      <c r="P53" s="68">
        <v>0</v>
      </c>
      <c r="Q53" s="68">
        <v>1226</v>
      </c>
      <c r="R53" s="68">
        <f t="shared" si="13"/>
        <v>14347.870967741934</v>
      </c>
      <c r="S53" s="69">
        <f t="shared" si="2"/>
        <v>716.1290322580644</v>
      </c>
      <c r="T53" s="69">
        <f t="shared" si="3"/>
        <v>252</v>
      </c>
      <c r="U53" s="68">
        <f t="shared" si="14"/>
        <v>200</v>
      </c>
      <c r="V53" s="68">
        <v>0</v>
      </c>
      <c r="W53" s="68">
        <f t="shared" si="4"/>
        <v>1168.1290322580644</v>
      </c>
      <c r="X53" s="68">
        <f t="shared" si="5"/>
        <v>13179.741935483869</v>
      </c>
      <c r="Y53" s="68">
        <v>0</v>
      </c>
      <c r="Z53" s="68">
        <f t="shared" si="15"/>
        <v>13179.741935483869</v>
      </c>
      <c r="AA53" s="69">
        <f t="shared" si="6"/>
        <v>784.75806451612902</v>
      </c>
      <c r="AB53" s="69">
        <f t="shared" si="7"/>
        <v>682</v>
      </c>
      <c r="AC53" s="70">
        <f t="shared" si="8"/>
        <v>0</v>
      </c>
      <c r="AD53" s="71">
        <f t="shared" si="27"/>
        <v>1466.758064516129</v>
      </c>
      <c r="AE53" s="71">
        <f t="shared" si="10"/>
        <v>15814.629032258063</v>
      </c>
    </row>
    <row r="54" spans="1:31" x14ac:dyDescent="0.2">
      <c r="A54" s="64" t="s">
        <v>843</v>
      </c>
      <c r="B54" s="65">
        <f t="shared" si="16"/>
        <v>49</v>
      </c>
      <c r="C54" s="65" t="s">
        <v>673</v>
      </c>
      <c r="D54" s="65" t="s">
        <v>51</v>
      </c>
      <c r="E54" s="66" t="s">
        <v>701</v>
      </c>
      <c r="F54" s="67">
        <v>42929</v>
      </c>
      <c r="G54" s="65">
        <v>37</v>
      </c>
      <c r="H54" s="68">
        <f t="shared" si="0"/>
        <v>5967.7419354838703</v>
      </c>
      <c r="I54" s="68">
        <f t="shared" si="11"/>
        <v>0</v>
      </c>
      <c r="J54" s="68">
        <f t="shared" si="1"/>
        <v>298.38709677419354</v>
      </c>
      <c r="K54" s="68"/>
      <c r="L54" s="68">
        <f t="shared" si="12"/>
        <v>954.83870967741927</v>
      </c>
      <c r="M54" s="68"/>
      <c r="N54" s="68">
        <f>((1950+1000+0)/G$3)*G54</f>
        <v>3520.9677419354839</v>
      </c>
      <c r="O54" s="68">
        <v>0</v>
      </c>
      <c r="P54" s="68">
        <v>0</v>
      </c>
      <c r="Q54" s="68">
        <v>1000</v>
      </c>
      <c r="R54" s="68">
        <f t="shared" si="13"/>
        <v>11741.935483870966</v>
      </c>
      <c r="S54" s="69">
        <f t="shared" si="2"/>
        <v>716.1290322580644</v>
      </c>
      <c r="T54" s="69">
        <f t="shared" si="3"/>
        <v>206</v>
      </c>
      <c r="U54" s="68">
        <f t="shared" si="14"/>
        <v>200</v>
      </c>
      <c r="V54" s="68">
        <v>0</v>
      </c>
      <c r="W54" s="68">
        <f t="shared" si="4"/>
        <v>1122.1290322580644</v>
      </c>
      <c r="X54" s="68">
        <f t="shared" si="5"/>
        <v>10619.806451612902</v>
      </c>
      <c r="Y54" s="68">
        <v>0</v>
      </c>
      <c r="Z54" s="68">
        <f t="shared" si="15"/>
        <v>10619.806451612902</v>
      </c>
      <c r="AA54" s="69">
        <f t="shared" si="6"/>
        <v>784.75806451612902</v>
      </c>
      <c r="AB54" s="69">
        <f t="shared" si="7"/>
        <v>558</v>
      </c>
      <c r="AC54" s="70">
        <f t="shared" si="8"/>
        <v>0</v>
      </c>
      <c r="AD54" s="71">
        <f t="shared" si="27"/>
        <v>1342.758064516129</v>
      </c>
      <c r="AE54" s="71">
        <f t="shared" si="10"/>
        <v>13084.693548387095</v>
      </c>
    </row>
    <row r="55" spans="1:31" x14ac:dyDescent="0.2">
      <c r="A55" s="64" t="s">
        <v>844</v>
      </c>
      <c r="B55" s="65">
        <f t="shared" si="16"/>
        <v>50</v>
      </c>
      <c r="C55" s="65" t="s">
        <v>674</v>
      </c>
      <c r="D55" s="65" t="s">
        <v>51</v>
      </c>
      <c r="E55" s="65" t="s">
        <v>658</v>
      </c>
      <c r="F55" s="67">
        <v>42930</v>
      </c>
      <c r="G55" s="65">
        <v>25</v>
      </c>
      <c r="H55" s="68">
        <f t="shared" si="0"/>
        <v>4032.2580645161288</v>
      </c>
      <c r="I55" s="68">
        <f t="shared" si="11"/>
        <v>0</v>
      </c>
      <c r="J55" s="68">
        <f t="shared" si="1"/>
        <v>201.61290322580646</v>
      </c>
      <c r="K55" s="68"/>
      <c r="L55" s="68">
        <f t="shared" si="12"/>
        <v>645.16129032258061</v>
      </c>
      <c r="M55" s="68"/>
      <c r="N55" s="68">
        <f t="shared" si="30"/>
        <v>3987.0967741935478</v>
      </c>
      <c r="O55" s="68">
        <v>0</v>
      </c>
      <c r="P55" s="68">
        <v>0</v>
      </c>
      <c r="Q55" s="68">
        <v>0</v>
      </c>
      <c r="R55" s="68">
        <f t="shared" si="13"/>
        <v>8866.1290322580644</v>
      </c>
      <c r="S55" s="69">
        <f t="shared" si="2"/>
        <v>483.87096774193543</v>
      </c>
      <c r="T55" s="69">
        <f t="shared" si="3"/>
        <v>156</v>
      </c>
      <c r="U55" s="68">
        <f t="shared" si="14"/>
        <v>175</v>
      </c>
      <c r="V55" s="68">
        <v>0</v>
      </c>
      <c r="W55" s="68">
        <f t="shared" si="4"/>
        <v>814.87096774193537</v>
      </c>
      <c r="X55" s="68">
        <f t="shared" si="5"/>
        <v>8051.2580645161288</v>
      </c>
      <c r="Y55" s="68">
        <v>0</v>
      </c>
      <c r="Z55" s="68">
        <f t="shared" si="15"/>
        <v>8051.2580645161288</v>
      </c>
      <c r="AA55" s="69">
        <f t="shared" si="6"/>
        <v>530.24193548387098</v>
      </c>
      <c r="AB55" s="69">
        <f t="shared" si="7"/>
        <v>422</v>
      </c>
      <c r="AC55" s="70">
        <f t="shared" si="8"/>
        <v>0</v>
      </c>
      <c r="AD55" s="71">
        <f t="shared" si="27"/>
        <v>952.24193548387098</v>
      </c>
      <c r="AE55" s="71">
        <f t="shared" si="10"/>
        <v>9818.3709677419356</v>
      </c>
    </row>
    <row r="56" spans="1:31" x14ac:dyDescent="0.2">
      <c r="A56" s="64" t="s">
        <v>845</v>
      </c>
      <c r="B56" s="65">
        <f t="shared" si="16"/>
        <v>51</v>
      </c>
      <c r="C56" s="65" t="s">
        <v>675</v>
      </c>
      <c r="D56" s="65" t="s">
        <v>51</v>
      </c>
      <c r="E56" s="66" t="s">
        <v>236</v>
      </c>
      <c r="F56" s="67">
        <v>42917</v>
      </c>
      <c r="G56" s="65">
        <v>34</v>
      </c>
      <c r="H56" s="68">
        <f t="shared" si="0"/>
        <v>5483.8709677419356</v>
      </c>
      <c r="I56" s="68">
        <f t="shared" si="11"/>
        <v>0</v>
      </c>
      <c r="J56" s="68">
        <f t="shared" si="1"/>
        <v>274.19354838709677</v>
      </c>
      <c r="K56" s="68"/>
      <c r="L56" s="68">
        <f t="shared" si="12"/>
        <v>877.41935483870964</v>
      </c>
      <c r="M56" s="68"/>
      <c r="N56" s="68">
        <f>((1950+2000+0)/G$3)*G56</f>
        <v>4332.2580645161288</v>
      </c>
      <c r="O56" s="68">
        <v>0</v>
      </c>
      <c r="P56" s="68">
        <v>0</v>
      </c>
      <c r="Q56" s="68">
        <v>1000</v>
      </c>
      <c r="R56" s="68">
        <f t="shared" si="13"/>
        <v>11967.741935483871</v>
      </c>
      <c r="S56" s="69">
        <f t="shared" si="2"/>
        <v>658.0645161290322</v>
      </c>
      <c r="T56" s="69">
        <f t="shared" si="3"/>
        <v>210</v>
      </c>
      <c r="U56" s="68">
        <f t="shared" si="14"/>
        <v>200</v>
      </c>
      <c r="V56" s="68">
        <v>0</v>
      </c>
      <c r="W56" s="68">
        <f t="shared" si="4"/>
        <v>1068.0645161290322</v>
      </c>
      <c r="X56" s="68">
        <f t="shared" si="5"/>
        <v>10899.677419354839</v>
      </c>
      <c r="Y56" s="68">
        <v>0</v>
      </c>
      <c r="Z56" s="68">
        <f t="shared" si="15"/>
        <v>10899.677419354839</v>
      </c>
      <c r="AA56" s="69">
        <f t="shared" si="6"/>
        <v>721.12903225806451</v>
      </c>
      <c r="AB56" s="69">
        <f t="shared" si="7"/>
        <v>569</v>
      </c>
      <c r="AC56" s="70">
        <f t="shared" si="8"/>
        <v>0</v>
      </c>
      <c r="AD56" s="71">
        <f t="shared" si="27"/>
        <v>1290.1290322580644</v>
      </c>
      <c r="AE56" s="71">
        <f t="shared" si="10"/>
        <v>13257.870967741936</v>
      </c>
    </row>
    <row r="57" spans="1:31" x14ac:dyDescent="0.2">
      <c r="A57" s="64" t="s">
        <v>847</v>
      </c>
      <c r="B57" s="65">
        <f t="shared" si="16"/>
        <v>52</v>
      </c>
      <c r="C57" s="65" t="s">
        <v>677</v>
      </c>
      <c r="D57" s="65" t="s">
        <v>51</v>
      </c>
      <c r="E57" s="65" t="s">
        <v>658</v>
      </c>
      <c r="F57" s="67">
        <v>42935</v>
      </c>
      <c r="G57" s="65">
        <v>33</v>
      </c>
      <c r="H57" s="68">
        <f t="shared" si="0"/>
        <v>5322.5806451612898</v>
      </c>
      <c r="I57" s="68">
        <f t="shared" si="11"/>
        <v>0</v>
      </c>
      <c r="J57" s="68">
        <f t="shared" si="1"/>
        <v>266.12903225806451</v>
      </c>
      <c r="K57" s="68"/>
      <c r="L57" s="68">
        <f t="shared" si="12"/>
        <v>851.61290322580635</v>
      </c>
      <c r="M57" s="68"/>
      <c r="N57" s="68">
        <f t="shared" si="30"/>
        <v>5262.967741935483</v>
      </c>
      <c r="O57" s="68">
        <v>0</v>
      </c>
      <c r="P57" s="68">
        <v>0</v>
      </c>
      <c r="Q57" s="68">
        <v>0</v>
      </c>
      <c r="R57" s="68">
        <f t="shared" si="13"/>
        <v>11703.290322580644</v>
      </c>
      <c r="S57" s="69">
        <f t="shared" si="2"/>
        <v>638.70967741935476</v>
      </c>
      <c r="T57" s="69">
        <f t="shared" si="3"/>
        <v>205</v>
      </c>
      <c r="U57" s="68">
        <f t="shared" si="14"/>
        <v>200</v>
      </c>
      <c r="V57" s="68">
        <v>0</v>
      </c>
      <c r="W57" s="68">
        <f t="shared" si="4"/>
        <v>1043.7096774193546</v>
      </c>
      <c r="X57" s="68">
        <f t="shared" si="5"/>
        <v>10659.58064516129</v>
      </c>
      <c r="Y57" s="68">
        <v>0</v>
      </c>
      <c r="Z57" s="68">
        <f t="shared" si="15"/>
        <v>10659.58064516129</v>
      </c>
      <c r="AA57" s="69">
        <f t="shared" si="6"/>
        <v>699.91935483870964</v>
      </c>
      <c r="AB57" s="69">
        <f t="shared" si="7"/>
        <v>556</v>
      </c>
      <c r="AC57" s="70">
        <f t="shared" si="8"/>
        <v>0</v>
      </c>
      <c r="AD57" s="71">
        <f t="shared" si="27"/>
        <v>1255.9193548387098</v>
      </c>
      <c r="AE57" s="71">
        <f t="shared" si="10"/>
        <v>12959.209677419354</v>
      </c>
    </row>
    <row r="58" spans="1:31" x14ac:dyDescent="0.2">
      <c r="A58" s="64" t="s">
        <v>848</v>
      </c>
      <c r="B58" s="65">
        <f t="shared" si="16"/>
        <v>53</v>
      </c>
      <c r="C58" s="65" t="s">
        <v>678</v>
      </c>
      <c r="D58" s="65" t="s">
        <v>51</v>
      </c>
      <c r="E58" s="66" t="s">
        <v>237</v>
      </c>
      <c r="F58" s="67">
        <v>42935</v>
      </c>
      <c r="G58" s="65">
        <v>32</v>
      </c>
      <c r="H58" s="68">
        <f t="shared" si="0"/>
        <v>5161.2903225806449</v>
      </c>
      <c r="I58" s="68">
        <f t="shared" si="11"/>
        <v>0</v>
      </c>
      <c r="J58" s="68">
        <f t="shared" si="1"/>
        <v>258.06451612903226</v>
      </c>
      <c r="K58" s="68"/>
      <c r="L58" s="68">
        <f t="shared" si="12"/>
        <v>825.80645161290317</v>
      </c>
      <c r="M58" s="68"/>
      <c r="N58" s="68">
        <f t="shared" si="30"/>
        <v>5103.4838709677415</v>
      </c>
      <c r="O58" s="68">
        <v>0</v>
      </c>
      <c r="P58" s="68">
        <v>0</v>
      </c>
      <c r="Q58" s="68">
        <v>32</v>
      </c>
      <c r="R58" s="68">
        <f t="shared" si="13"/>
        <v>11380.645161290322</v>
      </c>
      <c r="S58" s="69">
        <f t="shared" si="2"/>
        <v>619.35483870967732</v>
      </c>
      <c r="T58" s="69">
        <f t="shared" si="3"/>
        <v>200</v>
      </c>
      <c r="U58" s="68">
        <f t="shared" si="14"/>
        <v>200</v>
      </c>
      <c r="V58" s="68">
        <v>0</v>
      </c>
      <c r="W58" s="68">
        <f t="shared" si="4"/>
        <v>1019.3548387096773</v>
      </c>
      <c r="X58" s="68">
        <f t="shared" si="5"/>
        <v>10361.290322580644</v>
      </c>
      <c r="Y58" s="68">
        <v>0</v>
      </c>
      <c r="Z58" s="68">
        <f t="shared" si="15"/>
        <v>10361.290322580644</v>
      </c>
      <c r="AA58" s="69">
        <f t="shared" si="6"/>
        <v>678.70967741935488</v>
      </c>
      <c r="AB58" s="69">
        <f t="shared" si="7"/>
        <v>541</v>
      </c>
      <c r="AC58" s="70">
        <f t="shared" si="8"/>
        <v>0</v>
      </c>
      <c r="AD58" s="71">
        <f t="shared" si="27"/>
        <v>1219.7096774193549</v>
      </c>
      <c r="AE58" s="71">
        <f t="shared" si="10"/>
        <v>12600.354838709676</v>
      </c>
    </row>
    <row r="59" spans="1:31" x14ac:dyDescent="0.2">
      <c r="A59" s="64" t="s">
        <v>850</v>
      </c>
      <c r="B59" s="65">
        <f t="shared" si="16"/>
        <v>54</v>
      </c>
      <c r="C59" s="65" t="s">
        <v>680</v>
      </c>
      <c r="D59" s="65" t="s">
        <v>51</v>
      </c>
      <c r="E59" s="66" t="s">
        <v>581</v>
      </c>
      <c r="F59" s="67">
        <v>42939</v>
      </c>
      <c r="G59" s="65">
        <v>18</v>
      </c>
      <c r="H59" s="68">
        <f t="shared" si="0"/>
        <v>2903.2258064516127</v>
      </c>
      <c r="I59" s="68">
        <f t="shared" si="11"/>
        <v>0</v>
      </c>
      <c r="J59" s="68">
        <f t="shared" si="1"/>
        <v>145.16129032258064</v>
      </c>
      <c r="K59" s="68"/>
      <c r="L59" s="68">
        <f t="shared" si="12"/>
        <v>464.51612903225805</v>
      </c>
      <c r="M59" s="68"/>
      <c r="N59" s="68">
        <f t="shared" si="30"/>
        <v>2870.7096774193546</v>
      </c>
      <c r="O59" s="68">
        <v>0</v>
      </c>
      <c r="P59" s="68">
        <v>0</v>
      </c>
      <c r="Q59" s="68">
        <v>0</v>
      </c>
      <c r="R59" s="68">
        <f t="shared" si="13"/>
        <v>6383.6129032258059</v>
      </c>
      <c r="S59" s="69">
        <f t="shared" si="2"/>
        <v>348.38709677419354</v>
      </c>
      <c r="T59" s="69">
        <f t="shared" si="3"/>
        <v>112</v>
      </c>
      <c r="U59" s="68">
        <f t="shared" si="14"/>
        <v>0</v>
      </c>
      <c r="V59" s="68">
        <v>0</v>
      </c>
      <c r="W59" s="68">
        <f t="shared" si="4"/>
        <v>460.38709677419354</v>
      </c>
      <c r="X59" s="68">
        <f t="shared" si="5"/>
        <v>5923.2258064516127</v>
      </c>
      <c r="Y59" s="68">
        <v>0</v>
      </c>
      <c r="Z59" s="68">
        <f t="shared" si="15"/>
        <v>5923.2258064516127</v>
      </c>
      <c r="AA59" s="69">
        <f t="shared" si="6"/>
        <v>381.77419354838707</v>
      </c>
      <c r="AB59" s="69">
        <f t="shared" si="7"/>
        <v>304</v>
      </c>
      <c r="AC59" s="70">
        <f t="shared" si="8"/>
        <v>0</v>
      </c>
      <c r="AD59" s="71">
        <f t="shared" si="27"/>
        <v>685.77419354838707</v>
      </c>
      <c r="AE59" s="71">
        <f t="shared" si="10"/>
        <v>7069.3870967741932</v>
      </c>
    </row>
    <row r="60" spans="1:31" x14ac:dyDescent="0.2">
      <c r="A60" s="64" t="s">
        <v>851</v>
      </c>
      <c r="B60" s="65">
        <f t="shared" si="16"/>
        <v>55</v>
      </c>
      <c r="C60" s="65" t="s">
        <v>1028</v>
      </c>
      <c r="D60" s="65" t="s">
        <v>51</v>
      </c>
      <c r="E60" s="66" t="s">
        <v>237</v>
      </c>
      <c r="F60" s="67">
        <v>42940</v>
      </c>
      <c r="G60" s="65">
        <v>35</v>
      </c>
      <c r="H60" s="68">
        <f t="shared" si="0"/>
        <v>5645.1612903225805</v>
      </c>
      <c r="I60" s="68">
        <f t="shared" si="11"/>
        <v>0</v>
      </c>
      <c r="J60" s="68">
        <f t="shared" si="1"/>
        <v>282.25806451612902</v>
      </c>
      <c r="K60" s="68"/>
      <c r="L60" s="68">
        <f t="shared" si="12"/>
        <v>903.22580645161281</v>
      </c>
      <c r="M60" s="68"/>
      <c r="N60" s="68">
        <f>((1950+1000+611+1383+1006)/G$3)*G60</f>
        <v>6717.7419354838712</v>
      </c>
      <c r="O60" s="68">
        <v>0</v>
      </c>
      <c r="P60" s="68">
        <v>0</v>
      </c>
      <c r="Q60" s="68">
        <v>0</v>
      </c>
      <c r="R60" s="68">
        <f t="shared" si="13"/>
        <v>13548.387096774193</v>
      </c>
      <c r="S60" s="69">
        <f t="shared" si="2"/>
        <v>677.41935483870964</v>
      </c>
      <c r="T60" s="69">
        <f t="shared" si="3"/>
        <v>238</v>
      </c>
      <c r="U60" s="68">
        <f t="shared" si="14"/>
        <v>200</v>
      </c>
      <c r="V60" s="68">
        <v>0</v>
      </c>
      <c r="W60" s="68">
        <f t="shared" si="4"/>
        <v>1115.4193548387098</v>
      </c>
      <c r="X60" s="68">
        <f t="shared" si="5"/>
        <v>12432.967741935483</v>
      </c>
      <c r="Y60" s="68">
        <v>0</v>
      </c>
      <c r="Z60" s="68">
        <f t="shared" si="15"/>
        <v>12432.967741935483</v>
      </c>
      <c r="AA60" s="69">
        <f t="shared" si="6"/>
        <v>742.33870967741939</v>
      </c>
      <c r="AB60" s="69">
        <f t="shared" si="7"/>
        <v>644</v>
      </c>
      <c r="AC60" s="70">
        <f t="shared" si="8"/>
        <v>0</v>
      </c>
      <c r="AD60" s="71">
        <f t="shared" si="27"/>
        <v>1386.3387096774195</v>
      </c>
      <c r="AE60" s="71">
        <f t="shared" si="10"/>
        <v>14934.725806451614</v>
      </c>
    </row>
    <row r="61" spans="1:31" x14ac:dyDescent="0.2">
      <c r="A61" s="64" t="s">
        <v>852</v>
      </c>
      <c r="B61" s="65">
        <f t="shared" si="16"/>
        <v>56</v>
      </c>
      <c r="C61" s="65" t="s">
        <v>681</v>
      </c>
      <c r="D61" s="65" t="s">
        <v>51</v>
      </c>
      <c r="E61" s="65" t="s">
        <v>658</v>
      </c>
      <c r="F61" s="67">
        <v>42941</v>
      </c>
      <c r="G61" s="65">
        <v>34</v>
      </c>
      <c r="H61" s="68">
        <f t="shared" si="0"/>
        <v>5483.8709677419356</v>
      </c>
      <c r="I61" s="68">
        <f t="shared" si="11"/>
        <v>0</v>
      </c>
      <c r="J61" s="68">
        <f t="shared" si="1"/>
        <v>274.19354838709677</v>
      </c>
      <c r="K61" s="68"/>
      <c r="L61" s="68">
        <f t="shared" si="12"/>
        <v>877.41935483870964</v>
      </c>
      <c r="M61" s="68"/>
      <c r="N61" s="68">
        <f t="shared" si="30"/>
        <v>5422.4516129032254</v>
      </c>
      <c r="O61" s="68">
        <v>0</v>
      </c>
      <c r="P61" s="68">
        <v>0</v>
      </c>
      <c r="Q61" s="68">
        <v>1000</v>
      </c>
      <c r="R61" s="68">
        <f t="shared" si="13"/>
        <v>13057.935483870966</v>
      </c>
      <c r="S61" s="69">
        <f t="shared" si="2"/>
        <v>658.0645161290322</v>
      </c>
      <c r="T61" s="69">
        <f t="shared" si="3"/>
        <v>229</v>
      </c>
      <c r="U61" s="68">
        <f t="shared" si="14"/>
        <v>200</v>
      </c>
      <c r="V61" s="68">
        <v>0</v>
      </c>
      <c r="W61" s="68">
        <f t="shared" si="4"/>
        <v>1087.0645161290322</v>
      </c>
      <c r="X61" s="68">
        <f t="shared" si="5"/>
        <v>11970.870967741934</v>
      </c>
      <c r="Y61" s="68">
        <v>0</v>
      </c>
      <c r="Z61" s="68">
        <f t="shared" si="15"/>
        <v>11970.870967741934</v>
      </c>
      <c r="AA61" s="69">
        <f t="shared" si="6"/>
        <v>721.12903225806451</v>
      </c>
      <c r="AB61" s="69">
        <f t="shared" si="7"/>
        <v>621</v>
      </c>
      <c r="AC61" s="70">
        <f t="shared" si="8"/>
        <v>0</v>
      </c>
      <c r="AD61" s="71">
        <f t="shared" si="27"/>
        <v>1342.1290322580644</v>
      </c>
      <c r="AE61" s="71">
        <f t="shared" si="10"/>
        <v>14400.06451612903</v>
      </c>
    </row>
    <row r="62" spans="1:31" x14ac:dyDescent="0.2">
      <c r="A62" s="64" t="s">
        <v>853</v>
      </c>
      <c r="B62" s="65">
        <f t="shared" si="16"/>
        <v>57</v>
      </c>
      <c r="C62" s="65" t="s">
        <v>682</v>
      </c>
      <c r="D62" s="65" t="s">
        <v>51</v>
      </c>
      <c r="E62" s="66" t="s">
        <v>581</v>
      </c>
      <c r="F62" s="67">
        <v>42943</v>
      </c>
      <c r="G62" s="65">
        <v>33</v>
      </c>
      <c r="H62" s="68">
        <f t="shared" si="0"/>
        <v>5322.5806451612898</v>
      </c>
      <c r="I62" s="68">
        <f t="shared" si="11"/>
        <v>0</v>
      </c>
      <c r="J62" s="68">
        <f t="shared" si="1"/>
        <v>266.12903225806451</v>
      </c>
      <c r="K62" s="68"/>
      <c r="L62" s="68">
        <f t="shared" si="12"/>
        <v>851.61290322580635</v>
      </c>
      <c r="M62" s="68"/>
      <c r="N62" s="68">
        <f t="shared" si="30"/>
        <v>5262.967741935483</v>
      </c>
      <c r="O62" s="68">
        <v>0</v>
      </c>
      <c r="P62" s="68">
        <v>0</v>
      </c>
      <c r="Q62" s="68">
        <v>1000</v>
      </c>
      <c r="R62" s="68">
        <f t="shared" si="13"/>
        <v>12703.290322580644</v>
      </c>
      <c r="S62" s="69">
        <f t="shared" si="2"/>
        <v>638.70967741935476</v>
      </c>
      <c r="T62" s="69">
        <f t="shared" si="3"/>
        <v>223</v>
      </c>
      <c r="U62" s="68">
        <f t="shared" si="14"/>
        <v>200</v>
      </c>
      <c r="V62" s="68">
        <v>0</v>
      </c>
      <c r="W62" s="68">
        <f t="shared" si="4"/>
        <v>1061.7096774193546</v>
      </c>
      <c r="X62" s="68">
        <f t="shared" si="5"/>
        <v>11641.58064516129</v>
      </c>
      <c r="Y62" s="68">
        <v>0</v>
      </c>
      <c r="Z62" s="68">
        <f t="shared" si="15"/>
        <v>11641.58064516129</v>
      </c>
      <c r="AA62" s="69">
        <f t="shared" si="6"/>
        <v>699.91935483870964</v>
      </c>
      <c r="AB62" s="69">
        <f t="shared" si="7"/>
        <v>604</v>
      </c>
      <c r="AC62" s="70">
        <f t="shared" si="8"/>
        <v>0</v>
      </c>
      <c r="AD62" s="71">
        <f t="shared" si="27"/>
        <v>1303.9193548387098</v>
      </c>
      <c r="AE62" s="71">
        <f t="shared" si="10"/>
        <v>14007.209677419354</v>
      </c>
    </row>
    <row r="63" spans="1:31" x14ac:dyDescent="0.2">
      <c r="A63" s="64" t="s">
        <v>1084</v>
      </c>
      <c r="B63" s="65">
        <f t="shared" si="16"/>
        <v>58</v>
      </c>
      <c r="C63" s="65" t="s">
        <v>996</v>
      </c>
      <c r="D63" s="65" t="s">
        <v>51</v>
      </c>
      <c r="E63" s="66" t="s">
        <v>581</v>
      </c>
      <c r="F63" s="67">
        <v>42951</v>
      </c>
      <c r="G63" s="65">
        <v>20</v>
      </c>
      <c r="H63" s="68">
        <f t="shared" si="0"/>
        <v>3225.8064516129029</v>
      </c>
      <c r="I63" s="68">
        <f t="shared" si="11"/>
        <v>0</v>
      </c>
      <c r="J63" s="68">
        <f t="shared" si="1"/>
        <v>161.29032258064515</v>
      </c>
      <c r="K63" s="68"/>
      <c r="L63" s="68">
        <f t="shared" si="12"/>
        <v>516.12903225806451</v>
      </c>
      <c r="M63" s="68"/>
      <c r="N63" s="68">
        <f t="shared" ref="N63:N66" si="31">((1950+2994)/G$3)*G63</f>
        <v>3189.6774193548385</v>
      </c>
      <c r="O63" s="68">
        <v>0</v>
      </c>
      <c r="P63" s="68">
        <v>0</v>
      </c>
      <c r="Q63" s="68">
        <v>274</v>
      </c>
      <c r="R63" s="68">
        <f t="shared" si="13"/>
        <v>7366.9032258064508</v>
      </c>
      <c r="S63" s="69">
        <f t="shared" si="2"/>
        <v>387.09677419354836</v>
      </c>
      <c r="T63" s="69">
        <f t="shared" si="3"/>
        <v>129</v>
      </c>
      <c r="U63" s="68">
        <f t="shared" si="14"/>
        <v>0</v>
      </c>
      <c r="V63" s="68">
        <v>0</v>
      </c>
      <c r="W63" s="68">
        <f t="shared" si="4"/>
        <v>516.0967741935483</v>
      </c>
      <c r="X63" s="68">
        <f t="shared" si="5"/>
        <v>6850.8064516129025</v>
      </c>
      <c r="Y63" s="68">
        <v>0</v>
      </c>
      <c r="Z63" s="68">
        <f t="shared" si="15"/>
        <v>6850.8064516129025</v>
      </c>
      <c r="AA63" s="69">
        <f t="shared" si="6"/>
        <v>424.19354838709677</v>
      </c>
      <c r="AB63" s="69">
        <f t="shared" si="7"/>
        <v>350</v>
      </c>
      <c r="AC63" s="70">
        <f t="shared" si="8"/>
        <v>0</v>
      </c>
      <c r="AD63" s="71">
        <f t="shared" si="27"/>
        <v>774.19354838709683</v>
      </c>
      <c r="AE63" s="71">
        <f t="shared" si="10"/>
        <v>8141.0967741935474</v>
      </c>
    </row>
    <row r="64" spans="1:31" x14ac:dyDescent="0.2">
      <c r="A64" s="64" t="s">
        <v>1085</v>
      </c>
      <c r="B64" s="65">
        <f t="shared" si="16"/>
        <v>59</v>
      </c>
      <c r="C64" s="65" t="s">
        <v>999</v>
      </c>
      <c r="D64" s="65" t="s">
        <v>51</v>
      </c>
      <c r="E64" s="66" t="s">
        <v>237</v>
      </c>
      <c r="F64" s="67">
        <v>42954</v>
      </c>
      <c r="G64" s="65">
        <v>33</v>
      </c>
      <c r="H64" s="68">
        <f t="shared" si="0"/>
        <v>5322.5806451612898</v>
      </c>
      <c r="I64" s="68">
        <f t="shared" si="11"/>
        <v>0</v>
      </c>
      <c r="J64" s="68">
        <f t="shared" si="1"/>
        <v>266.12903225806451</v>
      </c>
      <c r="K64" s="68"/>
      <c r="L64" s="68">
        <f t="shared" si="12"/>
        <v>851.61290322580635</v>
      </c>
      <c r="M64" s="68"/>
      <c r="N64" s="68">
        <f t="shared" si="31"/>
        <v>5262.967741935483</v>
      </c>
      <c r="O64" s="68">
        <v>0</v>
      </c>
      <c r="P64" s="68">
        <v>0</v>
      </c>
      <c r="Q64" s="68">
        <v>1000</v>
      </c>
      <c r="R64" s="68">
        <f t="shared" si="13"/>
        <v>12703.290322580644</v>
      </c>
      <c r="S64" s="69">
        <f t="shared" si="2"/>
        <v>638.70967741935476</v>
      </c>
      <c r="T64" s="69">
        <f t="shared" si="3"/>
        <v>223</v>
      </c>
      <c r="U64" s="68">
        <f t="shared" si="14"/>
        <v>200</v>
      </c>
      <c r="V64" s="68">
        <v>0</v>
      </c>
      <c r="W64" s="68">
        <f t="shared" si="4"/>
        <v>1061.7096774193546</v>
      </c>
      <c r="X64" s="68">
        <f t="shared" si="5"/>
        <v>11641.58064516129</v>
      </c>
      <c r="Y64" s="68">
        <v>0</v>
      </c>
      <c r="Z64" s="68">
        <f t="shared" si="15"/>
        <v>11641.58064516129</v>
      </c>
      <c r="AA64" s="69">
        <f t="shared" si="6"/>
        <v>699.91935483870964</v>
      </c>
      <c r="AB64" s="69">
        <f t="shared" si="7"/>
        <v>604</v>
      </c>
      <c r="AC64" s="70">
        <f t="shared" si="8"/>
        <v>0</v>
      </c>
      <c r="AD64" s="71">
        <f t="shared" si="27"/>
        <v>1303.9193548387098</v>
      </c>
      <c r="AE64" s="71">
        <f t="shared" si="10"/>
        <v>14007.209677419354</v>
      </c>
    </row>
    <row r="65" spans="1:31" x14ac:dyDescent="0.2">
      <c r="A65" s="64" t="s">
        <v>1086</v>
      </c>
      <c r="B65" s="65">
        <f t="shared" si="16"/>
        <v>60</v>
      </c>
      <c r="C65" s="65" t="s">
        <v>1000</v>
      </c>
      <c r="D65" s="65" t="s">
        <v>51</v>
      </c>
      <c r="E65" s="66" t="s">
        <v>658</v>
      </c>
      <c r="F65" s="67">
        <v>42956</v>
      </c>
      <c r="G65" s="65">
        <v>32</v>
      </c>
      <c r="H65" s="68">
        <f t="shared" si="0"/>
        <v>5161.2903225806449</v>
      </c>
      <c r="I65" s="68">
        <f t="shared" si="11"/>
        <v>0</v>
      </c>
      <c r="J65" s="68">
        <f t="shared" si="1"/>
        <v>258.06451612903226</v>
      </c>
      <c r="K65" s="68"/>
      <c r="L65" s="68">
        <f t="shared" si="12"/>
        <v>825.80645161290317</v>
      </c>
      <c r="M65" s="68"/>
      <c r="N65" s="68">
        <f t="shared" si="31"/>
        <v>5103.4838709677415</v>
      </c>
      <c r="O65" s="68">
        <v>0</v>
      </c>
      <c r="P65" s="68">
        <v>0</v>
      </c>
      <c r="Q65" s="68">
        <v>0</v>
      </c>
      <c r="R65" s="68">
        <f t="shared" si="13"/>
        <v>11348.645161290322</v>
      </c>
      <c r="S65" s="69">
        <f t="shared" si="2"/>
        <v>619.35483870967732</v>
      </c>
      <c r="T65" s="69">
        <f t="shared" si="3"/>
        <v>199</v>
      </c>
      <c r="U65" s="68">
        <f t="shared" si="14"/>
        <v>200</v>
      </c>
      <c r="V65" s="68">
        <v>0</v>
      </c>
      <c r="W65" s="68">
        <f t="shared" si="4"/>
        <v>1018.3548387096773</v>
      </c>
      <c r="X65" s="68">
        <f t="shared" si="5"/>
        <v>10330.290322580644</v>
      </c>
      <c r="Y65" s="68">
        <v>0</v>
      </c>
      <c r="Z65" s="68">
        <f t="shared" si="15"/>
        <v>10330.290322580644</v>
      </c>
      <c r="AA65" s="69">
        <f t="shared" si="6"/>
        <v>678.70967741935488</v>
      </c>
      <c r="AB65" s="69">
        <f t="shared" si="7"/>
        <v>540</v>
      </c>
      <c r="AC65" s="70">
        <f t="shared" si="8"/>
        <v>0</v>
      </c>
      <c r="AD65" s="71">
        <f t="shared" si="27"/>
        <v>1218.7096774193549</v>
      </c>
      <c r="AE65" s="71">
        <f t="shared" si="10"/>
        <v>12567.354838709676</v>
      </c>
    </row>
    <row r="66" spans="1:31" x14ac:dyDescent="0.2">
      <c r="A66" s="64" t="s">
        <v>1087</v>
      </c>
      <c r="B66" s="65">
        <f t="shared" si="16"/>
        <v>61</v>
      </c>
      <c r="C66" s="65" t="s">
        <v>1006</v>
      </c>
      <c r="D66" s="65" t="s">
        <v>51</v>
      </c>
      <c r="E66" s="66" t="s">
        <v>581</v>
      </c>
      <c r="F66" s="67">
        <v>42960</v>
      </c>
      <c r="G66" s="65">
        <v>19</v>
      </c>
      <c r="H66" s="68">
        <f t="shared" si="0"/>
        <v>3064.516129032258</v>
      </c>
      <c r="I66" s="68">
        <f t="shared" si="11"/>
        <v>0</v>
      </c>
      <c r="J66" s="68">
        <f t="shared" si="1"/>
        <v>153.2258064516129</v>
      </c>
      <c r="K66" s="68"/>
      <c r="L66" s="68">
        <f t="shared" si="12"/>
        <v>490.32258064516128</v>
      </c>
      <c r="M66" s="68"/>
      <c r="N66" s="68">
        <f t="shared" si="31"/>
        <v>3030.1935483870966</v>
      </c>
      <c r="O66" s="68">
        <v>0</v>
      </c>
      <c r="P66" s="68">
        <v>0</v>
      </c>
      <c r="Q66" s="68">
        <v>113</v>
      </c>
      <c r="R66" s="68">
        <f t="shared" si="13"/>
        <v>6851.2580645161288</v>
      </c>
      <c r="S66" s="69">
        <f t="shared" si="2"/>
        <v>367.74193548387098</v>
      </c>
      <c r="T66" s="69">
        <f t="shared" si="3"/>
        <v>120</v>
      </c>
      <c r="U66" s="68">
        <f t="shared" si="14"/>
        <v>0</v>
      </c>
      <c r="V66" s="68">
        <v>0</v>
      </c>
      <c r="W66" s="68">
        <f t="shared" si="4"/>
        <v>487.74193548387098</v>
      </c>
      <c r="X66" s="68">
        <f t="shared" si="5"/>
        <v>6363.5161290322576</v>
      </c>
      <c r="Y66" s="68">
        <v>0</v>
      </c>
      <c r="Z66" s="68">
        <f t="shared" si="15"/>
        <v>6363.5161290322576</v>
      </c>
      <c r="AA66" s="69">
        <f t="shared" si="6"/>
        <v>402.98387096774195</v>
      </c>
      <c r="AB66" s="69">
        <f t="shared" si="7"/>
        <v>326</v>
      </c>
      <c r="AC66" s="70">
        <f t="shared" si="8"/>
        <v>0</v>
      </c>
      <c r="AD66" s="71">
        <f t="shared" si="27"/>
        <v>728.98387096774195</v>
      </c>
      <c r="AE66" s="71">
        <f t="shared" si="10"/>
        <v>7580.2419354838712</v>
      </c>
    </row>
    <row r="67" spans="1:31" x14ac:dyDescent="0.2">
      <c r="A67" s="64" t="s">
        <v>1270</v>
      </c>
      <c r="B67" s="65">
        <f t="shared" si="16"/>
        <v>62</v>
      </c>
      <c r="C67" s="65" t="s">
        <v>1135</v>
      </c>
      <c r="D67" s="65" t="s">
        <v>51</v>
      </c>
      <c r="E67" s="66" t="s">
        <v>236</v>
      </c>
      <c r="F67" s="67">
        <v>42979</v>
      </c>
      <c r="G67" s="65">
        <v>35</v>
      </c>
      <c r="H67" s="68">
        <f t="shared" si="0"/>
        <v>5645.1612903225805</v>
      </c>
      <c r="I67" s="68">
        <f t="shared" si="11"/>
        <v>0</v>
      </c>
      <c r="J67" s="68">
        <f t="shared" si="1"/>
        <v>282.25806451612902</v>
      </c>
      <c r="K67" s="68"/>
      <c r="L67" s="68">
        <f t="shared" si="12"/>
        <v>903.22580645161281</v>
      </c>
      <c r="M67" s="68"/>
      <c r="N67" s="68">
        <f>((1950+1000+0)/G$3)*G67</f>
        <v>3330.6451612903224</v>
      </c>
      <c r="O67" s="68">
        <v>0</v>
      </c>
      <c r="P67" s="68">
        <v>0</v>
      </c>
      <c r="Q67" s="68">
        <v>1000</v>
      </c>
      <c r="R67" s="68">
        <f t="shared" ref="R67:R114" si="32">SUM(H67:Q67)</f>
        <v>11161.290322580644</v>
      </c>
      <c r="S67" s="69">
        <f t="shared" si="2"/>
        <v>677.41935483870964</v>
      </c>
      <c r="T67" s="69">
        <f t="shared" si="3"/>
        <v>196</v>
      </c>
      <c r="U67" s="68">
        <f t="shared" si="14"/>
        <v>200</v>
      </c>
      <c r="V67" s="68">
        <v>0</v>
      </c>
      <c r="W67" s="68">
        <f t="shared" si="4"/>
        <v>1073.4193548387098</v>
      </c>
      <c r="X67" s="68">
        <f t="shared" si="5"/>
        <v>10087.870967741934</v>
      </c>
      <c r="Y67" s="68">
        <v>0</v>
      </c>
      <c r="Z67" s="68">
        <f t="shared" si="15"/>
        <v>10087.870967741934</v>
      </c>
      <c r="AA67" s="69">
        <f t="shared" si="6"/>
        <v>742.33870967741939</v>
      </c>
      <c r="AB67" s="69">
        <f t="shared" si="7"/>
        <v>531</v>
      </c>
      <c r="AC67" s="70">
        <f t="shared" si="8"/>
        <v>0</v>
      </c>
      <c r="AD67" s="71">
        <f t="shared" ref="AD67:AD130" si="33">SUM(AA67:AC67)</f>
        <v>1273.3387096774195</v>
      </c>
      <c r="AE67" s="71">
        <f t="shared" si="10"/>
        <v>12434.629032258064</v>
      </c>
    </row>
    <row r="68" spans="1:31" x14ac:dyDescent="0.2">
      <c r="A68" s="64" t="s">
        <v>1275</v>
      </c>
      <c r="B68" s="65">
        <f t="shared" si="16"/>
        <v>63</v>
      </c>
      <c r="C68" s="65" t="s">
        <v>1144</v>
      </c>
      <c r="D68" s="65" t="s">
        <v>51</v>
      </c>
      <c r="E68" s="66" t="s">
        <v>658</v>
      </c>
      <c r="F68" s="67">
        <v>42984</v>
      </c>
      <c r="G68" s="65">
        <v>33</v>
      </c>
      <c r="H68" s="68">
        <f t="shared" si="0"/>
        <v>5322.5806451612898</v>
      </c>
      <c r="I68" s="68">
        <f t="shared" si="11"/>
        <v>0</v>
      </c>
      <c r="J68" s="68">
        <f t="shared" si="1"/>
        <v>266.12903225806451</v>
      </c>
      <c r="K68" s="68"/>
      <c r="L68" s="68">
        <f t="shared" si="12"/>
        <v>851.61290322580635</v>
      </c>
      <c r="M68" s="68"/>
      <c r="N68" s="68">
        <f t="shared" ref="N68:N70" si="34">((1950+2000+994)/G$3)*G68</f>
        <v>5262.967741935483</v>
      </c>
      <c r="O68" s="68">
        <v>0</v>
      </c>
      <c r="P68" s="68">
        <v>0</v>
      </c>
      <c r="Q68" s="68">
        <v>339</v>
      </c>
      <c r="R68" s="68">
        <f t="shared" si="32"/>
        <v>12042.290322580644</v>
      </c>
      <c r="S68" s="69">
        <f t="shared" si="2"/>
        <v>638.70967741935476</v>
      </c>
      <c r="T68" s="69">
        <f t="shared" si="3"/>
        <v>211</v>
      </c>
      <c r="U68" s="68">
        <f t="shared" si="14"/>
        <v>200</v>
      </c>
      <c r="V68" s="68">
        <v>0</v>
      </c>
      <c r="W68" s="68">
        <f t="shared" si="4"/>
        <v>1049.7096774193546</v>
      </c>
      <c r="X68" s="68">
        <f t="shared" si="5"/>
        <v>10992.58064516129</v>
      </c>
      <c r="Y68" s="68">
        <v>0</v>
      </c>
      <c r="Z68" s="68">
        <f t="shared" si="15"/>
        <v>10992.58064516129</v>
      </c>
      <c r="AA68" s="69">
        <f t="shared" si="6"/>
        <v>699.91935483870964</v>
      </c>
      <c r="AB68" s="69">
        <f t="shared" si="7"/>
        <v>573</v>
      </c>
      <c r="AC68" s="70">
        <f t="shared" si="8"/>
        <v>0</v>
      </c>
      <c r="AD68" s="71">
        <f t="shared" si="33"/>
        <v>1272.9193548387098</v>
      </c>
      <c r="AE68" s="71">
        <f t="shared" si="10"/>
        <v>13315.209677419354</v>
      </c>
    </row>
    <row r="69" spans="1:31" x14ac:dyDescent="0.2">
      <c r="A69" s="64" t="s">
        <v>1280</v>
      </c>
      <c r="B69" s="65">
        <f t="shared" si="16"/>
        <v>64</v>
      </c>
      <c r="C69" s="65" t="s">
        <v>1149</v>
      </c>
      <c r="D69" s="65" t="s">
        <v>51</v>
      </c>
      <c r="E69" s="66" t="s">
        <v>658</v>
      </c>
      <c r="F69" s="67">
        <v>42991</v>
      </c>
      <c r="G69" s="65">
        <v>34</v>
      </c>
      <c r="H69" s="68">
        <f t="shared" si="0"/>
        <v>5483.8709677419356</v>
      </c>
      <c r="I69" s="68">
        <f t="shared" si="11"/>
        <v>0</v>
      </c>
      <c r="J69" s="68">
        <f t="shared" si="1"/>
        <v>274.19354838709677</v>
      </c>
      <c r="K69" s="68"/>
      <c r="L69" s="68">
        <f t="shared" si="12"/>
        <v>877.41935483870964</v>
      </c>
      <c r="M69" s="68"/>
      <c r="N69" s="68">
        <f>((1950+1000+0)/G$3)*G69</f>
        <v>3235.483870967742</v>
      </c>
      <c r="O69" s="68">
        <v>0</v>
      </c>
      <c r="P69" s="68">
        <v>0</v>
      </c>
      <c r="Q69" s="68">
        <v>1000</v>
      </c>
      <c r="R69" s="68">
        <f t="shared" si="32"/>
        <v>10870.967741935483</v>
      </c>
      <c r="S69" s="69">
        <f t="shared" si="2"/>
        <v>658.0645161290322</v>
      </c>
      <c r="T69" s="69">
        <f t="shared" si="3"/>
        <v>191</v>
      </c>
      <c r="U69" s="68">
        <f t="shared" si="14"/>
        <v>200</v>
      </c>
      <c r="V69" s="68">
        <v>0</v>
      </c>
      <c r="W69" s="68">
        <f t="shared" si="4"/>
        <v>1049.0645161290322</v>
      </c>
      <c r="X69" s="68">
        <f t="shared" si="5"/>
        <v>9821.9032258064508</v>
      </c>
      <c r="Y69" s="68">
        <v>0</v>
      </c>
      <c r="Z69" s="68">
        <f t="shared" si="15"/>
        <v>9821.9032258064508</v>
      </c>
      <c r="AA69" s="69">
        <f t="shared" si="6"/>
        <v>721.12903225806451</v>
      </c>
      <c r="AB69" s="69">
        <f t="shared" si="7"/>
        <v>517</v>
      </c>
      <c r="AC69" s="70">
        <f t="shared" si="8"/>
        <v>0</v>
      </c>
      <c r="AD69" s="71">
        <f t="shared" si="33"/>
        <v>1238.1290322580644</v>
      </c>
      <c r="AE69" s="71">
        <f t="shared" si="10"/>
        <v>12109.096774193547</v>
      </c>
    </row>
    <row r="70" spans="1:31" x14ac:dyDescent="0.2">
      <c r="A70" s="64" t="s">
        <v>1284</v>
      </c>
      <c r="B70" s="65">
        <f t="shared" si="16"/>
        <v>65</v>
      </c>
      <c r="C70" s="65" t="s">
        <v>1153</v>
      </c>
      <c r="D70" s="65" t="s">
        <v>51</v>
      </c>
      <c r="E70" s="66" t="s">
        <v>581</v>
      </c>
      <c r="F70" s="67">
        <v>42995</v>
      </c>
      <c r="G70" s="65">
        <v>22</v>
      </c>
      <c r="H70" s="68">
        <f t="shared" ref="H70:H133" si="35">(5000/G$3)*G70</f>
        <v>3548.3870967741932</v>
      </c>
      <c r="I70" s="68">
        <f t="shared" si="11"/>
        <v>0</v>
      </c>
      <c r="J70" s="68">
        <f t="shared" ref="J70:J133" si="36">(H70+I70)*5%</f>
        <v>177.41935483870967</v>
      </c>
      <c r="K70" s="68"/>
      <c r="L70" s="68">
        <f t="shared" si="12"/>
        <v>567.74193548387098</v>
      </c>
      <c r="M70" s="68"/>
      <c r="N70" s="68">
        <f t="shared" si="34"/>
        <v>3508.6451612903224</v>
      </c>
      <c r="O70" s="68">
        <v>0</v>
      </c>
      <c r="P70" s="68">
        <v>0</v>
      </c>
      <c r="Q70" s="68">
        <v>113</v>
      </c>
      <c r="R70" s="68">
        <f t="shared" si="32"/>
        <v>7915.1935483870966</v>
      </c>
      <c r="S70" s="69">
        <f t="shared" ref="S70:S133" si="37">(H70+I70)*12%</f>
        <v>425.80645161290317</v>
      </c>
      <c r="T70" s="69">
        <f t="shared" ref="T70:T133" si="38">ROUNDUP((R70*1.75%),0)</f>
        <v>139</v>
      </c>
      <c r="U70" s="68">
        <f t="shared" si="14"/>
        <v>175</v>
      </c>
      <c r="V70" s="68">
        <v>0</v>
      </c>
      <c r="W70" s="68">
        <f t="shared" ref="W70:W101" si="39">SUM(S70:V70)</f>
        <v>739.80645161290317</v>
      </c>
      <c r="X70" s="68">
        <f t="shared" ref="X70:X133" si="40">R70-W70</f>
        <v>7175.3870967741932</v>
      </c>
      <c r="Y70" s="68">
        <v>0</v>
      </c>
      <c r="Z70" s="68">
        <f t="shared" si="15"/>
        <v>7175.3870967741932</v>
      </c>
      <c r="AA70" s="69">
        <f t="shared" ref="AA70:AA133" si="41">(H70+I70)*13.15%</f>
        <v>466.61290322580641</v>
      </c>
      <c r="AB70" s="69">
        <f t="shared" ref="AB70:AB133" si="42">CEILING((R70)*4.75%,1)</f>
        <v>376</v>
      </c>
      <c r="AC70" s="70">
        <f t="shared" ref="AC70:AC133" si="43">V70*3</f>
        <v>0</v>
      </c>
      <c r="AD70" s="71">
        <f t="shared" si="33"/>
        <v>842.61290322580635</v>
      </c>
      <c r="AE70" s="71">
        <f t="shared" ref="AE70:AE133" si="44">R70+AD70</f>
        <v>8757.8064516129034</v>
      </c>
    </row>
    <row r="71" spans="1:31" x14ac:dyDescent="0.2">
      <c r="A71" s="64" t="s">
        <v>1291</v>
      </c>
      <c r="B71" s="65">
        <f t="shared" si="16"/>
        <v>66</v>
      </c>
      <c r="C71" s="65" t="s">
        <v>1160</v>
      </c>
      <c r="D71" s="65" t="s">
        <v>51</v>
      </c>
      <c r="E71" s="66" t="s">
        <v>236</v>
      </c>
      <c r="F71" s="67">
        <v>43004</v>
      </c>
      <c r="G71" s="65">
        <v>36</v>
      </c>
      <c r="H71" s="68">
        <f t="shared" si="35"/>
        <v>5806.4516129032254</v>
      </c>
      <c r="I71" s="68">
        <f t="shared" ref="I71:I134" si="45">((0)/G$3)*G71</f>
        <v>0</v>
      </c>
      <c r="J71" s="68">
        <f t="shared" si="36"/>
        <v>290.32258064516128</v>
      </c>
      <c r="K71" s="68"/>
      <c r="L71" s="68">
        <f t="shared" ref="L71:L134" si="46">((800)/G$3)*G71</f>
        <v>929.0322580645161</v>
      </c>
      <c r="M71" s="68"/>
      <c r="N71" s="68">
        <f t="shared" ref="N71" si="47">((1950+2000+0)/G$3)*G71</f>
        <v>4587.0967741935483</v>
      </c>
      <c r="O71" s="68">
        <v>0</v>
      </c>
      <c r="P71" s="68">
        <v>0</v>
      </c>
      <c r="Q71" s="68">
        <v>1468</v>
      </c>
      <c r="R71" s="68">
        <f t="shared" si="32"/>
        <v>13080.903225806451</v>
      </c>
      <c r="S71" s="69">
        <f t="shared" si="37"/>
        <v>696.77419354838707</v>
      </c>
      <c r="T71" s="69">
        <f t="shared" si="38"/>
        <v>229</v>
      </c>
      <c r="U71" s="68">
        <f t="shared" ref="U71:U134" si="48">+IF(R71&lt;2501,0,IF((R71&gt;2501)*(R71&lt;3500),0,IF((R71&gt;3501)*(R71&lt;7500),0,IF((R71&gt;7501)*(R71&lt;10000),175,200))))</f>
        <v>200</v>
      </c>
      <c r="V71" s="68">
        <v>0</v>
      </c>
      <c r="W71" s="68">
        <f t="shared" si="39"/>
        <v>1125.7741935483871</v>
      </c>
      <c r="X71" s="68">
        <f t="shared" si="40"/>
        <v>11955.129032258064</v>
      </c>
      <c r="Y71" s="68">
        <v>0</v>
      </c>
      <c r="Z71" s="68">
        <f t="shared" ref="Z71:Z134" si="49">X71-Y71</f>
        <v>11955.129032258064</v>
      </c>
      <c r="AA71" s="69">
        <f t="shared" si="41"/>
        <v>763.54838709677415</v>
      </c>
      <c r="AB71" s="69">
        <f t="shared" si="42"/>
        <v>622</v>
      </c>
      <c r="AC71" s="70">
        <f t="shared" si="43"/>
        <v>0</v>
      </c>
      <c r="AD71" s="71">
        <f t="shared" si="33"/>
        <v>1385.5483870967741</v>
      </c>
      <c r="AE71" s="71">
        <f t="shared" si="44"/>
        <v>14466.451612903225</v>
      </c>
    </row>
    <row r="72" spans="1:31" x14ac:dyDescent="0.2">
      <c r="A72" s="64" t="s">
        <v>849</v>
      </c>
      <c r="B72" s="65">
        <f t="shared" ref="B72:B135" si="50">B71+1</f>
        <v>67</v>
      </c>
      <c r="C72" s="65" t="s">
        <v>1186</v>
      </c>
      <c r="D72" s="65" t="s">
        <v>51</v>
      </c>
      <c r="E72" s="66" t="s">
        <v>658</v>
      </c>
      <c r="F72" s="67">
        <v>42991</v>
      </c>
      <c r="G72" s="65">
        <v>33</v>
      </c>
      <c r="H72" s="68">
        <f t="shared" si="35"/>
        <v>5322.5806451612898</v>
      </c>
      <c r="I72" s="68">
        <f t="shared" si="45"/>
        <v>0</v>
      </c>
      <c r="J72" s="68">
        <f t="shared" si="36"/>
        <v>266.12903225806451</v>
      </c>
      <c r="K72" s="68"/>
      <c r="L72" s="68">
        <f t="shared" si="46"/>
        <v>851.61290322580635</v>
      </c>
      <c r="M72" s="68"/>
      <c r="N72" s="68">
        <f t="shared" ref="N72" si="51">((1950+2000+994)/G$3)*G72</f>
        <v>5262.967741935483</v>
      </c>
      <c r="O72" s="68">
        <v>0</v>
      </c>
      <c r="P72" s="68">
        <v>0</v>
      </c>
      <c r="Q72" s="68">
        <v>1000</v>
      </c>
      <c r="R72" s="68">
        <f t="shared" si="32"/>
        <v>12703.290322580644</v>
      </c>
      <c r="S72" s="69">
        <f t="shared" si="37"/>
        <v>638.70967741935476</v>
      </c>
      <c r="T72" s="69">
        <f t="shared" si="38"/>
        <v>223</v>
      </c>
      <c r="U72" s="68">
        <f t="shared" si="48"/>
        <v>200</v>
      </c>
      <c r="V72" s="68">
        <v>0</v>
      </c>
      <c r="W72" s="68">
        <f t="shared" si="39"/>
        <v>1061.7096774193546</v>
      </c>
      <c r="X72" s="68">
        <f t="shared" si="40"/>
        <v>11641.58064516129</v>
      </c>
      <c r="Y72" s="68">
        <v>0</v>
      </c>
      <c r="Z72" s="68">
        <f t="shared" si="49"/>
        <v>11641.58064516129</v>
      </c>
      <c r="AA72" s="69">
        <f t="shared" si="41"/>
        <v>699.91935483870964</v>
      </c>
      <c r="AB72" s="69">
        <f t="shared" si="42"/>
        <v>604</v>
      </c>
      <c r="AC72" s="70">
        <f t="shared" si="43"/>
        <v>0</v>
      </c>
      <c r="AD72" s="71">
        <f t="shared" si="33"/>
        <v>1303.9193548387098</v>
      </c>
      <c r="AE72" s="71">
        <f t="shared" si="44"/>
        <v>14007.209677419354</v>
      </c>
    </row>
    <row r="73" spans="1:31" x14ac:dyDescent="0.2">
      <c r="A73" s="64" t="s">
        <v>1498</v>
      </c>
      <c r="B73" s="65">
        <f t="shared" si="50"/>
        <v>68</v>
      </c>
      <c r="C73" s="65" t="s">
        <v>1189</v>
      </c>
      <c r="D73" s="66" t="s">
        <v>51</v>
      </c>
      <c r="E73" s="66" t="s">
        <v>658</v>
      </c>
      <c r="F73" s="67">
        <v>42997</v>
      </c>
      <c r="G73" s="65">
        <v>31</v>
      </c>
      <c r="H73" s="68">
        <f t="shared" si="35"/>
        <v>5000</v>
      </c>
      <c r="I73" s="68">
        <f t="shared" si="45"/>
        <v>0</v>
      </c>
      <c r="J73" s="68">
        <f t="shared" si="36"/>
        <v>250</v>
      </c>
      <c r="K73" s="68"/>
      <c r="L73" s="68">
        <f t="shared" si="46"/>
        <v>800</v>
      </c>
      <c r="M73" s="68"/>
      <c r="N73" s="68">
        <f>((1950+1000)/G$3)*G73</f>
        <v>2950</v>
      </c>
      <c r="O73" s="68">
        <v>0</v>
      </c>
      <c r="P73" s="68">
        <v>0</v>
      </c>
      <c r="Q73" s="68">
        <v>0</v>
      </c>
      <c r="R73" s="68">
        <f t="shared" si="32"/>
        <v>9000</v>
      </c>
      <c r="S73" s="69">
        <f t="shared" si="37"/>
        <v>600</v>
      </c>
      <c r="T73" s="69">
        <f t="shared" si="38"/>
        <v>158</v>
      </c>
      <c r="U73" s="68">
        <f t="shared" si="48"/>
        <v>175</v>
      </c>
      <c r="V73" s="68">
        <v>0</v>
      </c>
      <c r="W73" s="68">
        <f t="shared" si="39"/>
        <v>933</v>
      </c>
      <c r="X73" s="68">
        <f t="shared" si="40"/>
        <v>8067</v>
      </c>
      <c r="Y73" s="68">
        <v>0</v>
      </c>
      <c r="Z73" s="68">
        <f t="shared" si="49"/>
        <v>8067</v>
      </c>
      <c r="AA73" s="69">
        <f t="shared" si="41"/>
        <v>657.5</v>
      </c>
      <c r="AB73" s="69">
        <f t="shared" si="42"/>
        <v>428</v>
      </c>
      <c r="AC73" s="70">
        <f t="shared" si="43"/>
        <v>0</v>
      </c>
      <c r="AD73" s="71">
        <f t="shared" si="33"/>
        <v>1085.5</v>
      </c>
      <c r="AE73" s="71">
        <f t="shared" si="44"/>
        <v>10085.5</v>
      </c>
    </row>
    <row r="74" spans="1:31" x14ac:dyDescent="0.2">
      <c r="A74" s="64" t="s">
        <v>1499</v>
      </c>
      <c r="B74" s="65">
        <f t="shared" si="50"/>
        <v>69</v>
      </c>
      <c r="C74" s="65" t="s">
        <v>1207</v>
      </c>
      <c r="D74" s="66" t="s">
        <v>51</v>
      </c>
      <c r="E74" s="66" t="s">
        <v>658</v>
      </c>
      <c r="F74" s="67">
        <v>43013</v>
      </c>
      <c r="G74" s="65">
        <v>24</v>
      </c>
      <c r="H74" s="68">
        <f t="shared" si="35"/>
        <v>3870.9677419354839</v>
      </c>
      <c r="I74" s="68">
        <f t="shared" si="45"/>
        <v>0</v>
      </c>
      <c r="J74" s="68">
        <f t="shared" si="36"/>
        <v>193.54838709677421</v>
      </c>
      <c r="K74" s="68"/>
      <c r="L74" s="68">
        <f t="shared" si="46"/>
        <v>619.35483870967732</v>
      </c>
      <c r="M74" s="68"/>
      <c r="N74" s="68">
        <f t="shared" ref="N74:N83" si="52">((1950+2000+994)/G$3)*G74</f>
        <v>3827.6129032258059</v>
      </c>
      <c r="O74" s="68">
        <v>0</v>
      </c>
      <c r="P74" s="68">
        <v>0</v>
      </c>
      <c r="Q74" s="68">
        <v>306</v>
      </c>
      <c r="R74" s="68">
        <f t="shared" si="32"/>
        <v>8817.4838709677424</v>
      </c>
      <c r="S74" s="69">
        <f t="shared" si="37"/>
        <v>464.51612903225805</v>
      </c>
      <c r="T74" s="69">
        <f t="shared" si="38"/>
        <v>155</v>
      </c>
      <c r="U74" s="68">
        <f t="shared" si="48"/>
        <v>175</v>
      </c>
      <c r="V74" s="68">
        <v>0</v>
      </c>
      <c r="W74" s="68">
        <f t="shared" si="39"/>
        <v>794.51612903225805</v>
      </c>
      <c r="X74" s="68">
        <f t="shared" si="40"/>
        <v>8022.9677419354848</v>
      </c>
      <c r="Y74" s="68">
        <v>0</v>
      </c>
      <c r="Z74" s="68">
        <f t="shared" si="49"/>
        <v>8022.9677419354848</v>
      </c>
      <c r="AA74" s="69">
        <f t="shared" si="41"/>
        <v>509.03225806451616</v>
      </c>
      <c r="AB74" s="69">
        <f t="shared" si="42"/>
        <v>419</v>
      </c>
      <c r="AC74" s="70">
        <f t="shared" si="43"/>
        <v>0</v>
      </c>
      <c r="AD74" s="71">
        <f t="shared" si="33"/>
        <v>928.0322580645161</v>
      </c>
      <c r="AE74" s="71">
        <f t="shared" si="44"/>
        <v>9745.5161290322576</v>
      </c>
    </row>
    <row r="75" spans="1:31" x14ac:dyDescent="0.2">
      <c r="A75" s="64" t="s">
        <v>1500</v>
      </c>
      <c r="B75" s="65">
        <f t="shared" si="50"/>
        <v>70</v>
      </c>
      <c r="C75" s="65" t="s">
        <v>1210</v>
      </c>
      <c r="D75" s="66" t="s">
        <v>51</v>
      </c>
      <c r="E75" s="66" t="s">
        <v>658</v>
      </c>
      <c r="F75" s="67">
        <v>43013</v>
      </c>
      <c r="G75" s="65">
        <v>24</v>
      </c>
      <c r="H75" s="68">
        <f t="shared" si="35"/>
        <v>3870.9677419354839</v>
      </c>
      <c r="I75" s="68">
        <f t="shared" si="45"/>
        <v>0</v>
      </c>
      <c r="J75" s="68">
        <f t="shared" si="36"/>
        <v>193.54838709677421</v>
      </c>
      <c r="K75" s="68"/>
      <c r="L75" s="68">
        <f t="shared" si="46"/>
        <v>619.35483870967732</v>
      </c>
      <c r="M75" s="68"/>
      <c r="N75" s="68">
        <f t="shared" si="52"/>
        <v>3827.6129032258059</v>
      </c>
      <c r="O75" s="68">
        <v>0</v>
      </c>
      <c r="P75" s="68">
        <v>0</v>
      </c>
      <c r="Q75" s="68">
        <v>0</v>
      </c>
      <c r="R75" s="68">
        <f t="shared" si="32"/>
        <v>8511.4838709677424</v>
      </c>
      <c r="S75" s="69">
        <f t="shared" si="37"/>
        <v>464.51612903225805</v>
      </c>
      <c r="T75" s="69">
        <f t="shared" si="38"/>
        <v>149</v>
      </c>
      <c r="U75" s="68">
        <f t="shared" si="48"/>
        <v>175</v>
      </c>
      <c r="V75" s="68">
        <v>0</v>
      </c>
      <c r="W75" s="68">
        <f t="shared" si="39"/>
        <v>788.51612903225805</v>
      </c>
      <c r="X75" s="68">
        <f t="shared" si="40"/>
        <v>7722.9677419354848</v>
      </c>
      <c r="Y75" s="68">
        <v>435</v>
      </c>
      <c r="Z75" s="68">
        <f t="shared" si="49"/>
        <v>7287.9677419354848</v>
      </c>
      <c r="AA75" s="69">
        <f t="shared" si="41"/>
        <v>509.03225806451616</v>
      </c>
      <c r="AB75" s="69">
        <f t="shared" si="42"/>
        <v>405</v>
      </c>
      <c r="AC75" s="70">
        <f t="shared" si="43"/>
        <v>0</v>
      </c>
      <c r="AD75" s="71">
        <f t="shared" si="33"/>
        <v>914.0322580645161</v>
      </c>
      <c r="AE75" s="71">
        <f t="shared" si="44"/>
        <v>9425.5161290322576</v>
      </c>
    </row>
    <row r="76" spans="1:31" x14ac:dyDescent="0.2">
      <c r="A76" s="64" t="s">
        <v>1501</v>
      </c>
      <c r="B76" s="65">
        <f t="shared" si="50"/>
        <v>71</v>
      </c>
      <c r="C76" s="65" t="s">
        <v>1211</v>
      </c>
      <c r="D76" s="66" t="s">
        <v>51</v>
      </c>
      <c r="E76" s="66" t="s">
        <v>658</v>
      </c>
      <c r="F76" s="67">
        <v>43013</v>
      </c>
      <c r="G76" s="65">
        <v>30</v>
      </c>
      <c r="H76" s="68">
        <f t="shared" si="35"/>
        <v>4838.7096774193542</v>
      </c>
      <c r="I76" s="68">
        <f t="shared" si="45"/>
        <v>0</v>
      </c>
      <c r="J76" s="68">
        <f t="shared" si="36"/>
        <v>241.93548387096772</v>
      </c>
      <c r="K76" s="68"/>
      <c r="L76" s="68">
        <f t="shared" si="46"/>
        <v>774.19354838709671</v>
      </c>
      <c r="M76" s="68"/>
      <c r="N76" s="68">
        <f t="shared" si="52"/>
        <v>4784.5161290322576</v>
      </c>
      <c r="O76" s="68">
        <v>0</v>
      </c>
      <c r="P76" s="68">
        <v>0</v>
      </c>
      <c r="Q76" s="68">
        <v>0</v>
      </c>
      <c r="R76" s="68">
        <f t="shared" si="32"/>
        <v>10639.354838709676</v>
      </c>
      <c r="S76" s="69">
        <f t="shared" si="37"/>
        <v>580.64516129032245</v>
      </c>
      <c r="T76" s="69">
        <f t="shared" si="38"/>
        <v>187</v>
      </c>
      <c r="U76" s="68">
        <f t="shared" si="48"/>
        <v>200</v>
      </c>
      <c r="V76" s="68">
        <v>0</v>
      </c>
      <c r="W76" s="68">
        <f t="shared" si="39"/>
        <v>967.64516129032245</v>
      </c>
      <c r="X76" s="68">
        <f t="shared" si="40"/>
        <v>9671.7096774193542</v>
      </c>
      <c r="Y76" s="68">
        <v>435</v>
      </c>
      <c r="Z76" s="68">
        <f t="shared" si="49"/>
        <v>9236.7096774193542</v>
      </c>
      <c r="AA76" s="69">
        <f t="shared" si="41"/>
        <v>636.29032258064512</v>
      </c>
      <c r="AB76" s="69">
        <f t="shared" si="42"/>
        <v>506</v>
      </c>
      <c r="AC76" s="70">
        <f t="shared" si="43"/>
        <v>0</v>
      </c>
      <c r="AD76" s="71">
        <f t="shared" si="33"/>
        <v>1142.2903225806451</v>
      </c>
      <c r="AE76" s="71">
        <f t="shared" si="44"/>
        <v>11781.645161290322</v>
      </c>
    </row>
    <row r="77" spans="1:31" x14ac:dyDescent="0.2">
      <c r="A77" s="64" t="s">
        <v>1502</v>
      </c>
      <c r="B77" s="65">
        <f t="shared" si="50"/>
        <v>72</v>
      </c>
      <c r="C77" s="65" t="s">
        <v>1212</v>
      </c>
      <c r="D77" s="66" t="s">
        <v>51</v>
      </c>
      <c r="E77" s="66" t="s">
        <v>658</v>
      </c>
      <c r="F77" s="67">
        <v>43013</v>
      </c>
      <c r="G77" s="65">
        <v>34</v>
      </c>
      <c r="H77" s="68">
        <f t="shared" si="35"/>
        <v>5483.8709677419356</v>
      </c>
      <c r="I77" s="68">
        <f t="shared" si="45"/>
        <v>0</v>
      </c>
      <c r="J77" s="68">
        <f t="shared" si="36"/>
        <v>274.19354838709677</v>
      </c>
      <c r="K77" s="68"/>
      <c r="L77" s="68">
        <f t="shared" si="46"/>
        <v>877.41935483870964</v>
      </c>
      <c r="M77" s="68"/>
      <c r="N77" s="68">
        <f t="shared" si="52"/>
        <v>5422.4516129032254</v>
      </c>
      <c r="O77" s="68">
        <v>0</v>
      </c>
      <c r="P77" s="68">
        <v>0</v>
      </c>
      <c r="Q77" s="68">
        <v>1000</v>
      </c>
      <c r="R77" s="68">
        <f t="shared" si="32"/>
        <v>13057.935483870966</v>
      </c>
      <c r="S77" s="69">
        <f t="shared" si="37"/>
        <v>658.0645161290322</v>
      </c>
      <c r="T77" s="69">
        <f t="shared" si="38"/>
        <v>229</v>
      </c>
      <c r="U77" s="68">
        <f t="shared" si="48"/>
        <v>200</v>
      </c>
      <c r="V77" s="68">
        <v>0</v>
      </c>
      <c r="W77" s="68">
        <f t="shared" si="39"/>
        <v>1087.0645161290322</v>
      </c>
      <c r="X77" s="68">
        <f t="shared" si="40"/>
        <v>11970.870967741934</v>
      </c>
      <c r="Y77" s="68">
        <v>435</v>
      </c>
      <c r="Z77" s="68">
        <f t="shared" si="49"/>
        <v>11535.870967741934</v>
      </c>
      <c r="AA77" s="69">
        <f t="shared" si="41"/>
        <v>721.12903225806451</v>
      </c>
      <c r="AB77" s="69">
        <f t="shared" si="42"/>
        <v>621</v>
      </c>
      <c r="AC77" s="70">
        <f t="shared" si="43"/>
        <v>0</v>
      </c>
      <c r="AD77" s="71">
        <f t="shared" si="33"/>
        <v>1342.1290322580644</v>
      </c>
      <c r="AE77" s="71">
        <f t="shared" si="44"/>
        <v>14400.06451612903</v>
      </c>
    </row>
    <row r="78" spans="1:31" x14ac:dyDescent="0.2">
      <c r="A78" s="64" t="s">
        <v>1503</v>
      </c>
      <c r="B78" s="65">
        <f t="shared" si="50"/>
        <v>73</v>
      </c>
      <c r="C78" s="65" t="s">
        <v>1215</v>
      </c>
      <c r="D78" s="66" t="s">
        <v>51</v>
      </c>
      <c r="E78" s="66" t="s">
        <v>658</v>
      </c>
      <c r="F78" s="67">
        <v>43013</v>
      </c>
      <c r="G78" s="65">
        <v>33</v>
      </c>
      <c r="H78" s="68">
        <f t="shared" si="35"/>
        <v>5322.5806451612898</v>
      </c>
      <c r="I78" s="68">
        <f t="shared" si="45"/>
        <v>0</v>
      </c>
      <c r="J78" s="68">
        <f t="shared" si="36"/>
        <v>266.12903225806451</v>
      </c>
      <c r="K78" s="68"/>
      <c r="L78" s="68">
        <f t="shared" si="46"/>
        <v>851.61290322580635</v>
      </c>
      <c r="M78" s="68"/>
      <c r="N78" s="68">
        <f t="shared" si="52"/>
        <v>5262.967741935483</v>
      </c>
      <c r="O78" s="68">
        <v>0</v>
      </c>
      <c r="P78" s="68">
        <v>0</v>
      </c>
      <c r="Q78" s="68">
        <v>0</v>
      </c>
      <c r="R78" s="68">
        <f t="shared" si="32"/>
        <v>11703.290322580644</v>
      </c>
      <c r="S78" s="69">
        <f t="shared" si="37"/>
        <v>638.70967741935476</v>
      </c>
      <c r="T78" s="69">
        <f t="shared" si="38"/>
        <v>205</v>
      </c>
      <c r="U78" s="68">
        <f t="shared" si="48"/>
        <v>200</v>
      </c>
      <c r="V78" s="68">
        <v>0</v>
      </c>
      <c r="W78" s="68">
        <f t="shared" si="39"/>
        <v>1043.7096774193546</v>
      </c>
      <c r="X78" s="68">
        <f t="shared" si="40"/>
        <v>10659.58064516129</v>
      </c>
      <c r="Y78" s="68">
        <v>0</v>
      </c>
      <c r="Z78" s="68">
        <f t="shared" si="49"/>
        <v>10659.58064516129</v>
      </c>
      <c r="AA78" s="69">
        <f t="shared" si="41"/>
        <v>699.91935483870964</v>
      </c>
      <c r="AB78" s="69">
        <f t="shared" si="42"/>
        <v>556</v>
      </c>
      <c r="AC78" s="70">
        <f t="shared" si="43"/>
        <v>0</v>
      </c>
      <c r="AD78" s="71">
        <f t="shared" si="33"/>
        <v>1255.9193548387098</v>
      </c>
      <c r="AE78" s="71">
        <f t="shared" si="44"/>
        <v>12959.209677419354</v>
      </c>
    </row>
    <row r="79" spans="1:31" x14ac:dyDescent="0.2">
      <c r="A79" s="64" t="s">
        <v>1504</v>
      </c>
      <c r="B79" s="65">
        <f t="shared" si="50"/>
        <v>74</v>
      </c>
      <c r="C79" s="65" t="s">
        <v>1223</v>
      </c>
      <c r="D79" s="66" t="s">
        <v>51</v>
      </c>
      <c r="E79" s="66" t="s">
        <v>658</v>
      </c>
      <c r="F79" s="67">
        <v>43014</v>
      </c>
      <c r="G79" s="65">
        <v>33</v>
      </c>
      <c r="H79" s="68">
        <f t="shared" si="35"/>
        <v>5322.5806451612898</v>
      </c>
      <c r="I79" s="68">
        <f t="shared" si="45"/>
        <v>0</v>
      </c>
      <c r="J79" s="68">
        <f t="shared" si="36"/>
        <v>266.12903225806451</v>
      </c>
      <c r="K79" s="68"/>
      <c r="L79" s="68">
        <f t="shared" si="46"/>
        <v>851.61290322580635</v>
      </c>
      <c r="M79" s="68"/>
      <c r="N79" s="68">
        <f t="shared" si="52"/>
        <v>5262.967741935483</v>
      </c>
      <c r="O79" s="68">
        <v>0</v>
      </c>
      <c r="P79" s="68">
        <v>0</v>
      </c>
      <c r="Q79" s="68">
        <v>0</v>
      </c>
      <c r="R79" s="68">
        <f t="shared" si="32"/>
        <v>11703.290322580644</v>
      </c>
      <c r="S79" s="69">
        <f t="shared" si="37"/>
        <v>638.70967741935476</v>
      </c>
      <c r="T79" s="69">
        <f t="shared" si="38"/>
        <v>205</v>
      </c>
      <c r="U79" s="68">
        <f t="shared" si="48"/>
        <v>200</v>
      </c>
      <c r="V79" s="68">
        <v>0</v>
      </c>
      <c r="W79" s="68">
        <f t="shared" si="39"/>
        <v>1043.7096774193546</v>
      </c>
      <c r="X79" s="68">
        <f t="shared" si="40"/>
        <v>10659.58064516129</v>
      </c>
      <c r="Y79" s="68">
        <v>435</v>
      </c>
      <c r="Z79" s="68">
        <f t="shared" si="49"/>
        <v>10224.58064516129</v>
      </c>
      <c r="AA79" s="69">
        <f t="shared" si="41"/>
        <v>699.91935483870964</v>
      </c>
      <c r="AB79" s="69">
        <f t="shared" si="42"/>
        <v>556</v>
      </c>
      <c r="AC79" s="70">
        <f t="shared" si="43"/>
        <v>0</v>
      </c>
      <c r="AD79" s="71">
        <f t="shared" si="33"/>
        <v>1255.9193548387098</v>
      </c>
      <c r="AE79" s="71">
        <f t="shared" si="44"/>
        <v>12959.209677419354</v>
      </c>
    </row>
    <row r="80" spans="1:31" x14ac:dyDescent="0.2">
      <c r="A80" s="64" t="s">
        <v>1505</v>
      </c>
      <c r="B80" s="65">
        <f t="shared" si="50"/>
        <v>75</v>
      </c>
      <c r="C80" s="65" t="s">
        <v>1224</v>
      </c>
      <c r="D80" s="66" t="s">
        <v>51</v>
      </c>
      <c r="E80" s="66" t="s">
        <v>658</v>
      </c>
      <c r="F80" s="67">
        <v>43014</v>
      </c>
      <c r="G80" s="65">
        <v>29</v>
      </c>
      <c r="H80" s="68">
        <f t="shared" si="35"/>
        <v>4677.4193548387093</v>
      </c>
      <c r="I80" s="68">
        <f t="shared" si="45"/>
        <v>0</v>
      </c>
      <c r="J80" s="68">
        <f t="shared" si="36"/>
        <v>233.87096774193549</v>
      </c>
      <c r="K80" s="68"/>
      <c r="L80" s="68">
        <f t="shared" si="46"/>
        <v>748.38709677419354</v>
      </c>
      <c r="M80" s="68"/>
      <c r="N80" s="68">
        <f t="shared" si="52"/>
        <v>4625.0322580645161</v>
      </c>
      <c r="O80" s="68">
        <v>0</v>
      </c>
      <c r="P80" s="68">
        <v>0</v>
      </c>
      <c r="Q80" s="68">
        <v>0</v>
      </c>
      <c r="R80" s="68">
        <f t="shared" si="32"/>
        <v>10284.709677419354</v>
      </c>
      <c r="S80" s="69">
        <f t="shared" si="37"/>
        <v>561.29032258064512</v>
      </c>
      <c r="T80" s="69">
        <f t="shared" si="38"/>
        <v>180</v>
      </c>
      <c r="U80" s="68">
        <f t="shared" si="48"/>
        <v>200</v>
      </c>
      <c r="V80" s="68">
        <v>0</v>
      </c>
      <c r="W80" s="68">
        <f t="shared" si="39"/>
        <v>941.29032258064512</v>
      </c>
      <c r="X80" s="68">
        <f t="shared" si="40"/>
        <v>9343.4193548387084</v>
      </c>
      <c r="Y80" s="68">
        <v>435</v>
      </c>
      <c r="Z80" s="68">
        <f t="shared" si="49"/>
        <v>8908.4193548387084</v>
      </c>
      <c r="AA80" s="69">
        <f t="shared" si="41"/>
        <v>615.08064516129025</v>
      </c>
      <c r="AB80" s="69">
        <f t="shared" si="42"/>
        <v>489</v>
      </c>
      <c r="AC80" s="70">
        <f t="shared" si="43"/>
        <v>0</v>
      </c>
      <c r="AD80" s="71">
        <f t="shared" si="33"/>
        <v>1104.0806451612902</v>
      </c>
      <c r="AE80" s="71">
        <f t="shared" si="44"/>
        <v>11388.790322580644</v>
      </c>
    </row>
    <row r="81" spans="1:31" x14ac:dyDescent="0.2">
      <c r="A81" s="64" t="s">
        <v>1506</v>
      </c>
      <c r="B81" s="65">
        <f t="shared" si="50"/>
        <v>76</v>
      </c>
      <c r="C81" s="65" t="s">
        <v>1231</v>
      </c>
      <c r="D81" s="66" t="s">
        <v>51</v>
      </c>
      <c r="E81" s="66" t="s">
        <v>658</v>
      </c>
      <c r="F81" s="67">
        <v>43016</v>
      </c>
      <c r="G81" s="65">
        <v>35</v>
      </c>
      <c r="H81" s="68">
        <f t="shared" si="35"/>
        <v>5645.1612903225805</v>
      </c>
      <c r="I81" s="68">
        <f t="shared" si="45"/>
        <v>0</v>
      </c>
      <c r="J81" s="68">
        <f t="shared" si="36"/>
        <v>282.25806451612902</v>
      </c>
      <c r="K81" s="68"/>
      <c r="L81" s="68">
        <f t="shared" si="46"/>
        <v>903.22580645161281</v>
      </c>
      <c r="M81" s="68"/>
      <c r="N81" s="68">
        <f t="shared" si="52"/>
        <v>5581.9354838709669</v>
      </c>
      <c r="O81" s="68">
        <v>0</v>
      </c>
      <c r="P81" s="68">
        <v>0</v>
      </c>
      <c r="Q81" s="68">
        <v>1000</v>
      </c>
      <c r="R81" s="68">
        <f t="shared" si="32"/>
        <v>13412.580645161288</v>
      </c>
      <c r="S81" s="69">
        <f t="shared" si="37"/>
        <v>677.41935483870964</v>
      </c>
      <c r="T81" s="69">
        <f t="shared" si="38"/>
        <v>235</v>
      </c>
      <c r="U81" s="68">
        <f t="shared" si="48"/>
        <v>200</v>
      </c>
      <c r="V81" s="68">
        <v>0</v>
      </c>
      <c r="W81" s="68">
        <f t="shared" si="39"/>
        <v>1112.4193548387098</v>
      </c>
      <c r="X81" s="68">
        <f t="shared" si="40"/>
        <v>12300.161290322578</v>
      </c>
      <c r="Y81" s="68">
        <v>0</v>
      </c>
      <c r="Z81" s="68">
        <f t="shared" si="49"/>
        <v>12300.161290322578</v>
      </c>
      <c r="AA81" s="69">
        <f t="shared" si="41"/>
        <v>742.33870967741939</v>
      </c>
      <c r="AB81" s="69">
        <f t="shared" si="42"/>
        <v>638</v>
      </c>
      <c r="AC81" s="70">
        <f t="shared" si="43"/>
        <v>0</v>
      </c>
      <c r="AD81" s="71">
        <f t="shared" si="33"/>
        <v>1380.3387096774195</v>
      </c>
      <c r="AE81" s="71">
        <f t="shared" si="44"/>
        <v>14792.919354838708</v>
      </c>
    </row>
    <row r="82" spans="1:31" x14ac:dyDescent="0.2">
      <c r="A82" s="64" t="s">
        <v>1507</v>
      </c>
      <c r="B82" s="65">
        <f t="shared" si="50"/>
        <v>77</v>
      </c>
      <c r="C82" s="65" t="s">
        <v>1236</v>
      </c>
      <c r="D82" s="66" t="s">
        <v>51</v>
      </c>
      <c r="E82" s="66" t="s">
        <v>658</v>
      </c>
      <c r="F82" s="67">
        <v>43017</v>
      </c>
      <c r="G82" s="65">
        <v>30</v>
      </c>
      <c r="H82" s="68">
        <f t="shared" si="35"/>
        <v>4838.7096774193542</v>
      </c>
      <c r="I82" s="68">
        <f t="shared" si="45"/>
        <v>0</v>
      </c>
      <c r="J82" s="68">
        <f t="shared" si="36"/>
        <v>241.93548387096772</v>
      </c>
      <c r="K82" s="68"/>
      <c r="L82" s="68">
        <f t="shared" si="46"/>
        <v>774.19354838709671</v>
      </c>
      <c r="M82" s="68"/>
      <c r="N82" s="68">
        <f t="shared" si="52"/>
        <v>4784.5161290322576</v>
      </c>
      <c r="O82" s="68">
        <v>0</v>
      </c>
      <c r="P82" s="68">
        <v>0</v>
      </c>
      <c r="Q82" s="68">
        <v>0</v>
      </c>
      <c r="R82" s="68">
        <f t="shared" si="32"/>
        <v>10639.354838709676</v>
      </c>
      <c r="S82" s="69">
        <f t="shared" si="37"/>
        <v>580.64516129032245</v>
      </c>
      <c r="T82" s="69">
        <f t="shared" si="38"/>
        <v>187</v>
      </c>
      <c r="U82" s="68">
        <f t="shared" si="48"/>
        <v>200</v>
      </c>
      <c r="V82" s="68">
        <v>0</v>
      </c>
      <c r="W82" s="68">
        <f t="shared" si="39"/>
        <v>967.64516129032245</v>
      </c>
      <c r="X82" s="68">
        <f t="shared" si="40"/>
        <v>9671.7096774193542</v>
      </c>
      <c r="Y82" s="68">
        <v>0</v>
      </c>
      <c r="Z82" s="68">
        <f t="shared" si="49"/>
        <v>9671.7096774193542</v>
      </c>
      <c r="AA82" s="69">
        <f t="shared" si="41"/>
        <v>636.29032258064512</v>
      </c>
      <c r="AB82" s="69">
        <f t="shared" si="42"/>
        <v>506</v>
      </c>
      <c r="AC82" s="70">
        <f t="shared" si="43"/>
        <v>0</v>
      </c>
      <c r="AD82" s="71">
        <f t="shared" si="33"/>
        <v>1142.2903225806451</v>
      </c>
      <c r="AE82" s="71">
        <f t="shared" si="44"/>
        <v>11781.645161290322</v>
      </c>
    </row>
    <row r="83" spans="1:31" x14ac:dyDescent="0.2">
      <c r="A83" s="64" t="s">
        <v>1508</v>
      </c>
      <c r="B83" s="65">
        <f t="shared" si="50"/>
        <v>78</v>
      </c>
      <c r="C83" s="65" t="s">
        <v>1237</v>
      </c>
      <c r="D83" s="66" t="s">
        <v>51</v>
      </c>
      <c r="E83" s="66" t="s">
        <v>658</v>
      </c>
      <c r="F83" s="67">
        <v>43017</v>
      </c>
      <c r="G83" s="65">
        <v>30</v>
      </c>
      <c r="H83" s="68">
        <f t="shared" si="35"/>
        <v>4838.7096774193542</v>
      </c>
      <c r="I83" s="68">
        <f t="shared" si="45"/>
        <v>0</v>
      </c>
      <c r="J83" s="68">
        <f t="shared" si="36"/>
        <v>241.93548387096772</v>
      </c>
      <c r="K83" s="68"/>
      <c r="L83" s="68">
        <f t="shared" si="46"/>
        <v>774.19354838709671</v>
      </c>
      <c r="M83" s="68"/>
      <c r="N83" s="68">
        <f t="shared" si="52"/>
        <v>4784.5161290322576</v>
      </c>
      <c r="O83" s="68">
        <v>0</v>
      </c>
      <c r="P83" s="68">
        <v>0</v>
      </c>
      <c r="Q83" s="68">
        <v>387</v>
      </c>
      <c r="R83" s="68">
        <f t="shared" si="32"/>
        <v>11026.354838709676</v>
      </c>
      <c r="S83" s="69">
        <f t="shared" si="37"/>
        <v>580.64516129032245</v>
      </c>
      <c r="T83" s="69">
        <f t="shared" si="38"/>
        <v>193</v>
      </c>
      <c r="U83" s="68">
        <f t="shared" si="48"/>
        <v>200</v>
      </c>
      <c r="V83" s="68">
        <v>0</v>
      </c>
      <c r="W83" s="68">
        <f t="shared" si="39"/>
        <v>973.64516129032245</v>
      </c>
      <c r="X83" s="68">
        <f t="shared" si="40"/>
        <v>10052.709677419354</v>
      </c>
      <c r="Y83" s="68">
        <v>0</v>
      </c>
      <c r="Z83" s="68">
        <f t="shared" si="49"/>
        <v>10052.709677419354</v>
      </c>
      <c r="AA83" s="69">
        <f t="shared" si="41"/>
        <v>636.29032258064512</v>
      </c>
      <c r="AB83" s="69">
        <f t="shared" si="42"/>
        <v>524</v>
      </c>
      <c r="AC83" s="70">
        <f t="shared" si="43"/>
        <v>0</v>
      </c>
      <c r="AD83" s="71">
        <f t="shared" si="33"/>
        <v>1160.2903225806451</v>
      </c>
      <c r="AE83" s="71">
        <f t="shared" si="44"/>
        <v>12186.645161290322</v>
      </c>
    </row>
    <row r="84" spans="1:31" x14ac:dyDescent="0.2">
      <c r="A84" s="64" t="s">
        <v>1509</v>
      </c>
      <c r="B84" s="65">
        <f t="shared" si="50"/>
        <v>79</v>
      </c>
      <c r="C84" s="65" t="s">
        <v>1241</v>
      </c>
      <c r="D84" s="66" t="s">
        <v>51</v>
      </c>
      <c r="E84" s="66" t="s">
        <v>658</v>
      </c>
      <c r="F84" s="67">
        <v>43018</v>
      </c>
      <c r="G84" s="65">
        <v>36</v>
      </c>
      <c r="H84" s="68">
        <f t="shared" si="35"/>
        <v>5806.4516129032254</v>
      </c>
      <c r="I84" s="68">
        <f t="shared" si="45"/>
        <v>0</v>
      </c>
      <c r="J84" s="68">
        <f t="shared" si="36"/>
        <v>290.32258064516128</v>
      </c>
      <c r="K84" s="68"/>
      <c r="L84" s="68">
        <f t="shared" si="46"/>
        <v>929.0322580645161</v>
      </c>
      <c r="M84" s="68"/>
      <c r="N84" s="68">
        <f>((1950+1000+0)/G$3)*G84</f>
        <v>3425.8064516129029</v>
      </c>
      <c r="O84" s="68">
        <v>0</v>
      </c>
      <c r="P84" s="68">
        <v>0</v>
      </c>
      <c r="Q84" s="68">
        <v>1000</v>
      </c>
      <c r="R84" s="68">
        <f t="shared" si="32"/>
        <v>11451.612903225805</v>
      </c>
      <c r="S84" s="69">
        <f t="shared" si="37"/>
        <v>696.77419354838707</v>
      </c>
      <c r="T84" s="69">
        <f t="shared" si="38"/>
        <v>201</v>
      </c>
      <c r="U84" s="68">
        <f t="shared" si="48"/>
        <v>200</v>
      </c>
      <c r="V84" s="68">
        <v>0</v>
      </c>
      <c r="W84" s="68">
        <f t="shared" si="39"/>
        <v>1097.7741935483871</v>
      </c>
      <c r="X84" s="68">
        <f t="shared" si="40"/>
        <v>10353.838709677419</v>
      </c>
      <c r="Y84" s="68">
        <v>0</v>
      </c>
      <c r="Z84" s="68">
        <f t="shared" si="49"/>
        <v>10353.838709677419</v>
      </c>
      <c r="AA84" s="69">
        <f t="shared" si="41"/>
        <v>763.54838709677415</v>
      </c>
      <c r="AB84" s="69">
        <f t="shared" si="42"/>
        <v>544</v>
      </c>
      <c r="AC84" s="70">
        <f t="shared" si="43"/>
        <v>0</v>
      </c>
      <c r="AD84" s="71">
        <f t="shared" si="33"/>
        <v>1307.5483870967741</v>
      </c>
      <c r="AE84" s="71">
        <f t="shared" si="44"/>
        <v>12759.16129032258</v>
      </c>
    </row>
    <row r="85" spans="1:31" x14ac:dyDescent="0.2">
      <c r="A85" s="64" t="s">
        <v>1510</v>
      </c>
      <c r="B85" s="65">
        <f t="shared" si="50"/>
        <v>80</v>
      </c>
      <c r="C85" s="65" t="s">
        <v>1249</v>
      </c>
      <c r="D85" s="66" t="s">
        <v>51</v>
      </c>
      <c r="E85" s="66" t="s">
        <v>237</v>
      </c>
      <c r="F85" s="67">
        <v>43021</v>
      </c>
      <c r="G85" s="65">
        <v>30</v>
      </c>
      <c r="H85" s="68">
        <f t="shared" si="35"/>
        <v>4838.7096774193542</v>
      </c>
      <c r="I85" s="68">
        <f t="shared" si="45"/>
        <v>0</v>
      </c>
      <c r="J85" s="68">
        <f t="shared" si="36"/>
        <v>241.93548387096772</v>
      </c>
      <c r="K85" s="68"/>
      <c r="L85" s="68">
        <f t="shared" si="46"/>
        <v>774.19354838709671</v>
      </c>
      <c r="M85" s="68"/>
      <c r="N85" s="68">
        <f t="shared" ref="N85:N93" si="53">((1950+2000+994)/G$3)*G85</f>
        <v>4784.5161290322576</v>
      </c>
      <c r="O85" s="68">
        <v>0</v>
      </c>
      <c r="P85" s="68">
        <v>0</v>
      </c>
      <c r="Q85" s="68">
        <v>0</v>
      </c>
      <c r="R85" s="68">
        <f t="shared" si="32"/>
        <v>10639.354838709676</v>
      </c>
      <c r="S85" s="69">
        <f t="shared" si="37"/>
        <v>580.64516129032245</v>
      </c>
      <c r="T85" s="69">
        <f t="shared" si="38"/>
        <v>187</v>
      </c>
      <c r="U85" s="68">
        <f t="shared" si="48"/>
        <v>200</v>
      </c>
      <c r="V85" s="68">
        <v>0</v>
      </c>
      <c r="W85" s="68">
        <f t="shared" si="39"/>
        <v>967.64516129032245</v>
      </c>
      <c r="X85" s="68">
        <f t="shared" si="40"/>
        <v>9671.7096774193542</v>
      </c>
      <c r="Y85" s="68">
        <v>0</v>
      </c>
      <c r="Z85" s="68">
        <f t="shared" si="49"/>
        <v>9671.7096774193542</v>
      </c>
      <c r="AA85" s="69">
        <f t="shared" si="41"/>
        <v>636.29032258064512</v>
      </c>
      <c r="AB85" s="69">
        <f t="shared" si="42"/>
        <v>506</v>
      </c>
      <c r="AC85" s="70">
        <f t="shared" si="43"/>
        <v>0</v>
      </c>
      <c r="AD85" s="71">
        <f t="shared" si="33"/>
        <v>1142.2903225806451</v>
      </c>
      <c r="AE85" s="71">
        <f t="shared" si="44"/>
        <v>11781.645161290322</v>
      </c>
    </row>
    <row r="86" spans="1:31" x14ac:dyDescent="0.2">
      <c r="A86" s="64" t="s">
        <v>1511</v>
      </c>
      <c r="B86" s="65">
        <f t="shared" si="50"/>
        <v>81</v>
      </c>
      <c r="C86" s="65" t="s">
        <v>1252</v>
      </c>
      <c r="D86" s="66" t="s">
        <v>51</v>
      </c>
      <c r="E86" s="66" t="s">
        <v>236</v>
      </c>
      <c r="F86" s="67">
        <v>43022</v>
      </c>
      <c r="G86" s="65">
        <v>19</v>
      </c>
      <c r="H86" s="68">
        <f t="shared" si="35"/>
        <v>3064.516129032258</v>
      </c>
      <c r="I86" s="68">
        <f t="shared" si="45"/>
        <v>0</v>
      </c>
      <c r="J86" s="68">
        <f t="shared" si="36"/>
        <v>153.2258064516129</v>
      </c>
      <c r="K86" s="68"/>
      <c r="L86" s="68">
        <f t="shared" si="46"/>
        <v>490.32258064516128</v>
      </c>
      <c r="M86" s="68"/>
      <c r="N86" s="68">
        <f>((1950+1000+0)/G$3)*G86</f>
        <v>1808.0645161290322</v>
      </c>
      <c r="O86" s="68">
        <v>0</v>
      </c>
      <c r="P86" s="68">
        <v>0</v>
      </c>
      <c r="Q86" s="68">
        <v>290</v>
      </c>
      <c r="R86" s="68">
        <f t="shared" si="32"/>
        <v>5806.1290322580644</v>
      </c>
      <c r="S86" s="69">
        <f t="shared" si="37"/>
        <v>367.74193548387098</v>
      </c>
      <c r="T86" s="69">
        <f t="shared" si="38"/>
        <v>102</v>
      </c>
      <c r="U86" s="68">
        <f t="shared" si="48"/>
        <v>0</v>
      </c>
      <c r="V86" s="68">
        <v>0</v>
      </c>
      <c r="W86" s="68">
        <f t="shared" si="39"/>
        <v>469.74193548387098</v>
      </c>
      <c r="X86" s="68">
        <f t="shared" si="40"/>
        <v>5336.3870967741932</v>
      </c>
      <c r="Y86" s="68">
        <v>0</v>
      </c>
      <c r="Z86" s="68">
        <f t="shared" si="49"/>
        <v>5336.3870967741932</v>
      </c>
      <c r="AA86" s="69">
        <f t="shared" si="41"/>
        <v>402.98387096774195</v>
      </c>
      <c r="AB86" s="69">
        <f t="shared" si="42"/>
        <v>276</v>
      </c>
      <c r="AC86" s="70">
        <f t="shared" si="43"/>
        <v>0</v>
      </c>
      <c r="AD86" s="71">
        <f t="shared" si="33"/>
        <v>678.98387096774195</v>
      </c>
      <c r="AE86" s="71">
        <f t="shared" si="44"/>
        <v>6485.1129032258068</v>
      </c>
    </row>
    <row r="87" spans="1:31" x14ac:dyDescent="0.2">
      <c r="A87" s="64" t="s">
        <v>1512</v>
      </c>
      <c r="B87" s="65">
        <f t="shared" si="50"/>
        <v>82</v>
      </c>
      <c r="C87" s="65" t="s">
        <v>1253</v>
      </c>
      <c r="D87" s="66" t="s">
        <v>51</v>
      </c>
      <c r="E87" s="66" t="s">
        <v>658</v>
      </c>
      <c r="F87" s="67">
        <v>43023</v>
      </c>
      <c r="G87" s="65">
        <v>33</v>
      </c>
      <c r="H87" s="68">
        <f t="shared" si="35"/>
        <v>5322.5806451612898</v>
      </c>
      <c r="I87" s="68">
        <f t="shared" si="45"/>
        <v>0</v>
      </c>
      <c r="J87" s="68">
        <f t="shared" si="36"/>
        <v>266.12903225806451</v>
      </c>
      <c r="K87" s="68"/>
      <c r="L87" s="68">
        <f t="shared" si="46"/>
        <v>851.61290322580635</v>
      </c>
      <c r="M87" s="68"/>
      <c r="N87" s="68">
        <f t="shared" si="53"/>
        <v>5262.967741935483</v>
      </c>
      <c r="O87" s="68">
        <v>0</v>
      </c>
      <c r="P87" s="68">
        <v>0</v>
      </c>
      <c r="Q87" s="68">
        <v>1000</v>
      </c>
      <c r="R87" s="68">
        <f t="shared" si="32"/>
        <v>12703.290322580644</v>
      </c>
      <c r="S87" s="69">
        <f t="shared" si="37"/>
        <v>638.70967741935476</v>
      </c>
      <c r="T87" s="69">
        <f t="shared" si="38"/>
        <v>223</v>
      </c>
      <c r="U87" s="68">
        <f t="shared" si="48"/>
        <v>200</v>
      </c>
      <c r="V87" s="68">
        <v>0</v>
      </c>
      <c r="W87" s="68">
        <f t="shared" si="39"/>
        <v>1061.7096774193546</v>
      </c>
      <c r="X87" s="68">
        <f t="shared" si="40"/>
        <v>11641.58064516129</v>
      </c>
      <c r="Y87" s="68">
        <v>0</v>
      </c>
      <c r="Z87" s="68">
        <f t="shared" si="49"/>
        <v>11641.58064516129</v>
      </c>
      <c r="AA87" s="69">
        <f t="shared" si="41"/>
        <v>699.91935483870964</v>
      </c>
      <c r="AB87" s="69">
        <f t="shared" si="42"/>
        <v>604</v>
      </c>
      <c r="AC87" s="70">
        <f t="shared" si="43"/>
        <v>0</v>
      </c>
      <c r="AD87" s="71">
        <f t="shared" si="33"/>
        <v>1303.9193548387098</v>
      </c>
      <c r="AE87" s="71">
        <f t="shared" si="44"/>
        <v>14007.209677419354</v>
      </c>
    </row>
    <row r="88" spans="1:31" x14ac:dyDescent="0.2">
      <c r="A88" s="64" t="s">
        <v>1513</v>
      </c>
      <c r="B88" s="65">
        <f t="shared" si="50"/>
        <v>83</v>
      </c>
      <c r="C88" s="65" t="s">
        <v>1255</v>
      </c>
      <c r="D88" s="66" t="s">
        <v>51</v>
      </c>
      <c r="E88" s="66" t="s">
        <v>658</v>
      </c>
      <c r="F88" s="67">
        <v>43025</v>
      </c>
      <c r="G88" s="65">
        <v>32</v>
      </c>
      <c r="H88" s="68">
        <f t="shared" si="35"/>
        <v>5161.2903225806449</v>
      </c>
      <c r="I88" s="68">
        <f t="shared" si="45"/>
        <v>0</v>
      </c>
      <c r="J88" s="68">
        <f t="shared" si="36"/>
        <v>258.06451612903226</v>
      </c>
      <c r="K88" s="68"/>
      <c r="L88" s="68">
        <f t="shared" si="46"/>
        <v>825.80645161290317</v>
      </c>
      <c r="M88" s="68"/>
      <c r="N88" s="68">
        <f t="shared" si="53"/>
        <v>5103.4838709677415</v>
      </c>
      <c r="O88" s="68">
        <v>0</v>
      </c>
      <c r="P88" s="68">
        <v>0</v>
      </c>
      <c r="Q88" s="68">
        <v>0</v>
      </c>
      <c r="R88" s="68">
        <f t="shared" si="32"/>
        <v>11348.645161290322</v>
      </c>
      <c r="S88" s="69">
        <f t="shared" si="37"/>
        <v>619.35483870967732</v>
      </c>
      <c r="T88" s="69">
        <f t="shared" si="38"/>
        <v>199</v>
      </c>
      <c r="U88" s="68">
        <f t="shared" si="48"/>
        <v>200</v>
      </c>
      <c r="V88" s="68">
        <v>0</v>
      </c>
      <c r="W88" s="68">
        <f t="shared" si="39"/>
        <v>1018.3548387096773</v>
      </c>
      <c r="X88" s="68">
        <f t="shared" si="40"/>
        <v>10330.290322580644</v>
      </c>
      <c r="Y88" s="68">
        <v>0</v>
      </c>
      <c r="Z88" s="68">
        <f t="shared" si="49"/>
        <v>10330.290322580644</v>
      </c>
      <c r="AA88" s="69">
        <f t="shared" si="41"/>
        <v>678.70967741935488</v>
      </c>
      <c r="AB88" s="69">
        <f t="shared" si="42"/>
        <v>540</v>
      </c>
      <c r="AC88" s="70">
        <f t="shared" si="43"/>
        <v>0</v>
      </c>
      <c r="AD88" s="71">
        <f t="shared" si="33"/>
        <v>1218.7096774193549</v>
      </c>
      <c r="AE88" s="71">
        <f t="shared" si="44"/>
        <v>12567.354838709676</v>
      </c>
    </row>
    <row r="89" spans="1:31" x14ac:dyDescent="0.2">
      <c r="A89" s="64" t="s">
        <v>1514</v>
      </c>
      <c r="B89" s="65">
        <f t="shared" si="50"/>
        <v>84</v>
      </c>
      <c r="C89" s="65" t="s">
        <v>1143</v>
      </c>
      <c r="D89" s="66" t="s">
        <v>51</v>
      </c>
      <c r="E89" s="66" t="s">
        <v>1375</v>
      </c>
      <c r="F89" s="67">
        <v>43027</v>
      </c>
      <c r="G89" s="65">
        <v>33</v>
      </c>
      <c r="H89" s="68">
        <f t="shared" si="35"/>
        <v>5322.5806451612898</v>
      </c>
      <c r="I89" s="68">
        <f t="shared" si="45"/>
        <v>0</v>
      </c>
      <c r="J89" s="68">
        <f t="shared" si="36"/>
        <v>266.12903225806451</v>
      </c>
      <c r="K89" s="68"/>
      <c r="L89" s="68">
        <f t="shared" si="46"/>
        <v>851.61290322580635</v>
      </c>
      <c r="M89" s="68"/>
      <c r="N89" s="68">
        <f t="shared" si="53"/>
        <v>5262.967741935483</v>
      </c>
      <c r="O89" s="68">
        <v>0</v>
      </c>
      <c r="P89" s="68">
        <v>0</v>
      </c>
      <c r="Q89" s="68">
        <v>1113</v>
      </c>
      <c r="R89" s="68">
        <f t="shared" si="32"/>
        <v>12816.290322580644</v>
      </c>
      <c r="S89" s="69">
        <f t="shared" si="37"/>
        <v>638.70967741935476</v>
      </c>
      <c r="T89" s="69">
        <f t="shared" si="38"/>
        <v>225</v>
      </c>
      <c r="U89" s="68">
        <f t="shared" si="48"/>
        <v>200</v>
      </c>
      <c r="V89" s="68">
        <v>0</v>
      </c>
      <c r="W89" s="68">
        <f t="shared" si="39"/>
        <v>1063.7096774193546</v>
      </c>
      <c r="X89" s="68">
        <f t="shared" si="40"/>
        <v>11752.58064516129</v>
      </c>
      <c r="Y89" s="68">
        <v>0</v>
      </c>
      <c r="Z89" s="68">
        <f t="shared" si="49"/>
        <v>11752.58064516129</v>
      </c>
      <c r="AA89" s="69">
        <f t="shared" si="41"/>
        <v>699.91935483870964</v>
      </c>
      <c r="AB89" s="69">
        <f t="shared" si="42"/>
        <v>609</v>
      </c>
      <c r="AC89" s="70">
        <f t="shared" si="43"/>
        <v>0</v>
      </c>
      <c r="AD89" s="71">
        <f t="shared" si="33"/>
        <v>1308.9193548387098</v>
      </c>
      <c r="AE89" s="71">
        <f t="shared" si="44"/>
        <v>14125.209677419354</v>
      </c>
    </row>
    <row r="90" spans="1:31" x14ac:dyDescent="0.2">
      <c r="A90" s="64" t="s">
        <v>1654</v>
      </c>
      <c r="B90" s="65">
        <f t="shared" si="50"/>
        <v>85</v>
      </c>
      <c r="C90" s="65" t="s">
        <v>1260</v>
      </c>
      <c r="D90" s="66" t="s">
        <v>51</v>
      </c>
      <c r="E90" s="66" t="s">
        <v>658</v>
      </c>
      <c r="F90" s="67">
        <v>43031</v>
      </c>
      <c r="G90" s="65">
        <v>27</v>
      </c>
      <c r="H90" s="68">
        <f t="shared" si="35"/>
        <v>4354.8387096774195</v>
      </c>
      <c r="I90" s="68">
        <f t="shared" si="45"/>
        <v>0</v>
      </c>
      <c r="J90" s="68">
        <f t="shared" si="36"/>
        <v>217.74193548387098</v>
      </c>
      <c r="K90" s="68"/>
      <c r="L90" s="68">
        <f t="shared" si="46"/>
        <v>696.77419354838707</v>
      </c>
      <c r="M90" s="68"/>
      <c r="N90" s="68">
        <f t="shared" si="53"/>
        <v>4306.0645161290322</v>
      </c>
      <c r="O90" s="68">
        <v>0</v>
      </c>
      <c r="P90" s="68">
        <v>0</v>
      </c>
      <c r="Q90" s="68">
        <v>355</v>
      </c>
      <c r="R90" s="68">
        <f t="shared" si="32"/>
        <v>9930.4193548387102</v>
      </c>
      <c r="S90" s="69">
        <f t="shared" si="37"/>
        <v>522.58064516129036</v>
      </c>
      <c r="T90" s="69">
        <f t="shared" si="38"/>
        <v>174</v>
      </c>
      <c r="U90" s="68">
        <f t="shared" si="48"/>
        <v>175</v>
      </c>
      <c r="V90" s="68">
        <v>0</v>
      </c>
      <c r="W90" s="68">
        <f t="shared" si="39"/>
        <v>871.58064516129036</v>
      </c>
      <c r="X90" s="68">
        <f t="shared" si="40"/>
        <v>9058.8387096774204</v>
      </c>
      <c r="Y90" s="68">
        <v>0</v>
      </c>
      <c r="Z90" s="68">
        <f t="shared" si="49"/>
        <v>9058.8387096774204</v>
      </c>
      <c r="AA90" s="69">
        <f t="shared" si="41"/>
        <v>572.66129032258073</v>
      </c>
      <c r="AB90" s="69">
        <f t="shared" si="42"/>
        <v>472</v>
      </c>
      <c r="AC90" s="70">
        <f t="shared" si="43"/>
        <v>0</v>
      </c>
      <c r="AD90" s="71">
        <f t="shared" si="33"/>
        <v>1044.6612903225807</v>
      </c>
      <c r="AE90" s="71">
        <f t="shared" si="44"/>
        <v>10975.080645161292</v>
      </c>
    </row>
    <row r="91" spans="1:31" x14ac:dyDescent="0.2">
      <c r="A91" s="64" t="s">
        <v>1515</v>
      </c>
      <c r="B91" s="65">
        <f t="shared" si="50"/>
        <v>86</v>
      </c>
      <c r="C91" s="65" t="s">
        <v>1263</v>
      </c>
      <c r="D91" s="66" t="s">
        <v>51</v>
      </c>
      <c r="E91" s="66" t="s">
        <v>663</v>
      </c>
      <c r="F91" s="67">
        <v>43036</v>
      </c>
      <c r="G91" s="65">
        <v>33</v>
      </c>
      <c r="H91" s="68">
        <f t="shared" si="35"/>
        <v>5322.5806451612898</v>
      </c>
      <c r="I91" s="68">
        <f t="shared" si="45"/>
        <v>0</v>
      </c>
      <c r="J91" s="68">
        <f t="shared" si="36"/>
        <v>266.12903225806451</v>
      </c>
      <c r="K91" s="68"/>
      <c r="L91" s="68">
        <f t="shared" si="46"/>
        <v>851.61290322580635</v>
      </c>
      <c r="M91" s="68"/>
      <c r="N91" s="68">
        <f t="shared" si="53"/>
        <v>5262.967741935483</v>
      </c>
      <c r="O91" s="68">
        <v>0</v>
      </c>
      <c r="P91" s="68">
        <v>0</v>
      </c>
      <c r="Q91" s="68">
        <v>1419</v>
      </c>
      <c r="R91" s="68">
        <f t="shared" si="32"/>
        <v>13122.290322580644</v>
      </c>
      <c r="S91" s="69">
        <f t="shared" si="37"/>
        <v>638.70967741935476</v>
      </c>
      <c r="T91" s="69">
        <f t="shared" si="38"/>
        <v>230</v>
      </c>
      <c r="U91" s="68">
        <f t="shared" si="48"/>
        <v>200</v>
      </c>
      <c r="V91" s="68">
        <v>0</v>
      </c>
      <c r="W91" s="68">
        <f t="shared" si="39"/>
        <v>1068.7096774193546</v>
      </c>
      <c r="X91" s="68">
        <f t="shared" si="40"/>
        <v>12053.58064516129</v>
      </c>
      <c r="Y91" s="68">
        <v>0</v>
      </c>
      <c r="Z91" s="68">
        <f t="shared" si="49"/>
        <v>12053.58064516129</v>
      </c>
      <c r="AA91" s="69">
        <f t="shared" si="41"/>
        <v>699.91935483870964</v>
      </c>
      <c r="AB91" s="69">
        <f t="shared" si="42"/>
        <v>624</v>
      </c>
      <c r="AC91" s="70">
        <f t="shared" si="43"/>
        <v>0</v>
      </c>
      <c r="AD91" s="71">
        <f t="shared" si="33"/>
        <v>1323.9193548387098</v>
      </c>
      <c r="AE91" s="71">
        <f t="shared" si="44"/>
        <v>14446.209677419354</v>
      </c>
    </row>
    <row r="92" spans="1:31" x14ac:dyDescent="0.2">
      <c r="A92" s="64" t="s">
        <v>1516</v>
      </c>
      <c r="B92" s="65">
        <f t="shared" si="50"/>
        <v>87</v>
      </c>
      <c r="C92" s="65" t="s">
        <v>1264</v>
      </c>
      <c r="D92" s="66" t="s">
        <v>51</v>
      </c>
      <c r="E92" s="66" t="s">
        <v>658</v>
      </c>
      <c r="F92" s="67">
        <v>43036</v>
      </c>
      <c r="G92" s="65">
        <v>32</v>
      </c>
      <c r="H92" s="68">
        <f t="shared" si="35"/>
        <v>5161.2903225806449</v>
      </c>
      <c r="I92" s="68">
        <f t="shared" si="45"/>
        <v>0</v>
      </c>
      <c r="J92" s="68">
        <f t="shared" si="36"/>
        <v>258.06451612903226</v>
      </c>
      <c r="K92" s="68"/>
      <c r="L92" s="68">
        <f t="shared" si="46"/>
        <v>825.80645161290317</v>
      </c>
      <c r="M92" s="68"/>
      <c r="N92" s="68">
        <f t="shared" si="53"/>
        <v>5103.4838709677415</v>
      </c>
      <c r="O92" s="68">
        <v>0</v>
      </c>
      <c r="P92" s="68">
        <v>0</v>
      </c>
      <c r="Q92" s="68">
        <v>0</v>
      </c>
      <c r="R92" s="68">
        <f t="shared" si="32"/>
        <v>11348.645161290322</v>
      </c>
      <c r="S92" s="69">
        <f t="shared" si="37"/>
        <v>619.35483870967732</v>
      </c>
      <c r="T92" s="69">
        <f t="shared" si="38"/>
        <v>199</v>
      </c>
      <c r="U92" s="68">
        <f t="shared" si="48"/>
        <v>200</v>
      </c>
      <c r="V92" s="68">
        <v>0</v>
      </c>
      <c r="W92" s="68">
        <f t="shared" si="39"/>
        <v>1018.3548387096773</v>
      </c>
      <c r="X92" s="68">
        <f t="shared" si="40"/>
        <v>10330.290322580644</v>
      </c>
      <c r="Y92" s="68">
        <v>0</v>
      </c>
      <c r="Z92" s="68">
        <f t="shared" si="49"/>
        <v>10330.290322580644</v>
      </c>
      <c r="AA92" s="69">
        <f t="shared" si="41"/>
        <v>678.70967741935488</v>
      </c>
      <c r="AB92" s="69">
        <f t="shared" si="42"/>
        <v>540</v>
      </c>
      <c r="AC92" s="70">
        <f t="shared" si="43"/>
        <v>0</v>
      </c>
      <c r="AD92" s="71">
        <f t="shared" si="33"/>
        <v>1218.7096774193549</v>
      </c>
      <c r="AE92" s="71">
        <f t="shared" si="44"/>
        <v>12567.354838709676</v>
      </c>
    </row>
    <row r="93" spans="1:31" x14ac:dyDescent="0.2">
      <c r="A93" s="64" t="s">
        <v>181</v>
      </c>
      <c r="B93" s="65">
        <f t="shared" si="50"/>
        <v>88</v>
      </c>
      <c r="C93" s="65" t="s">
        <v>431</v>
      </c>
      <c r="D93" s="65" t="s">
        <v>51</v>
      </c>
      <c r="E93" s="65" t="s">
        <v>237</v>
      </c>
      <c r="F93" s="67">
        <v>42729</v>
      </c>
      <c r="G93" s="65">
        <v>33</v>
      </c>
      <c r="H93" s="68">
        <f t="shared" si="35"/>
        <v>5322.5806451612898</v>
      </c>
      <c r="I93" s="68">
        <f t="shared" si="45"/>
        <v>0</v>
      </c>
      <c r="J93" s="68">
        <f t="shared" si="36"/>
        <v>266.12903225806451</v>
      </c>
      <c r="K93" s="68"/>
      <c r="L93" s="68">
        <f t="shared" si="46"/>
        <v>851.61290322580635</v>
      </c>
      <c r="M93" s="68"/>
      <c r="N93" s="68">
        <f t="shared" si="53"/>
        <v>5262.967741935483</v>
      </c>
      <c r="O93" s="68">
        <v>0</v>
      </c>
      <c r="P93" s="68">
        <v>0</v>
      </c>
      <c r="Q93" s="68">
        <v>0</v>
      </c>
      <c r="R93" s="68">
        <f t="shared" si="32"/>
        <v>11703.290322580644</v>
      </c>
      <c r="S93" s="69">
        <f t="shared" si="37"/>
        <v>638.70967741935476</v>
      </c>
      <c r="T93" s="69">
        <f t="shared" si="38"/>
        <v>205</v>
      </c>
      <c r="U93" s="68">
        <f t="shared" si="48"/>
        <v>200</v>
      </c>
      <c r="V93" s="68">
        <v>0</v>
      </c>
      <c r="W93" s="68">
        <f t="shared" si="39"/>
        <v>1043.7096774193546</v>
      </c>
      <c r="X93" s="68">
        <f t="shared" si="40"/>
        <v>10659.58064516129</v>
      </c>
      <c r="Y93" s="68">
        <v>0</v>
      </c>
      <c r="Z93" s="68">
        <f t="shared" si="49"/>
        <v>10659.58064516129</v>
      </c>
      <c r="AA93" s="69">
        <f t="shared" si="41"/>
        <v>699.91935483870964</v>
      </c>
      <c r="AB93" s="69">
        <f t="shared" si="42"/>
        <v>556</v>
      </c>
      <c r="AC93" s="70">
        <f t="shared" si="43"/>
        <v>0</v>
      </c>
      <c r="AD93" s="71">
        <f t="shared" si="33"/>
        <v>1255.9193548387098</v>
      </c>
      <c r="AE93" s="71">
        <f t="shared" si="44"/>
        <v>12959.209677419354</v>
      </c>
    </row>
    <row r="94" spans="1:31" x14ac:dyDescent="0.2">
      <c r="A94" s="64" t="s">
        <v>1517</v>
      </c>
      <c r="B94" s="65">
        <f t="shared" si="50"/>
        <v>89</v>
      </c>
      <c r="C94" s="65" t="s">
        <v>1518</v>
      </c>
      <c r="D94" s="65" t="s">
        <v>51</v>
      </c>
      <c r="E94" s="66" t="s">
        <v>658</v>
      </c>
      <c r="F94" s="67">
        <v>43040</v>
      </c>
      <c r="G94" s="65">
        <v>30</v>
      </c>
      <c r="H94" s="68">
        <f t="shared" si="35"/>
        <v>4838.7096774193542</v>
      </c>
      <c r="I94" s="68">
        <f t="shared" si="45"/>
        <v>0</v>
      </c>
      <c r="J94" s="68">
        <f t="shared" si="36"/>
        <v>241.93548387096772</v>
      </c>
      <c r="K94" s="68"/>
      <c r="L94" s="68">
        <f t="shared" si="46"/>
        <v>774.19354838709671</v>
      </c>
      <c r="M94" s="68"/>
      <c r="N94" s="68">
        <f>((1950+2000+1000)/G$3)*G94</f>
        <v>4790.3225806451619</v>
      </c>
      <c r="O94" s="68">
        <v>0</v>
      </c>
      <c r="P94" s="68">
        <v>0</v>
      </c>
      <c r="Q94" s="68">
        <v>419</v>
      </c>
      <c r="R94" s="68">
        <f t="shared" si="32"/>
        <v>11064.16129032258</v>
      </c>
      <c r="S94" s="69">
        <f t="shared" si="37"/>
        <v>580.64516129032245</v>
      </c>
      <c r="T94" s="69">
        <f t="shared" si="38"/>
        <v>194</v>
      </c>
      <c r="U94" s="68">
        <f t="shared" si="48"/>
        <v>200</v>
      </c>
      <c r="V94" s="68">
        <v>0</v>
      </c>
      <c r="W94" s="68">
        <f t="shared" si="39"/>
        <v>974.64516129032245</v>
      </c>
      <c r="X94" s="68">
        <f t="shared" si="40"/>
        <v>10089.516129032258</v>
      </c>
      <c r="Y94" s="68">
        <v>0</v>
      </c>
      <c r="Z94" s="68">
        <f t="shared" si="49"/>
        <v>10089.516129032258</v>
      </c>
      <c r="AA94" s="69">
        <f t="shared" si="41"/>
        <v>636.29032258064512</v>
      </c>
      <c r="AB94" s="69">
        <f t="shared" si="42"/>
        <v>526</v>
      </c>
      <c r="AC94" s="70">
        <f t="shared" si="43"/>
        <v>0</v>
      </c>
      <c r="AD94" s="71">
        <f t="shared" si="33"/>
        <v>1162.2903225806451</v>
      </c>
      <c r="AE94" s="71">
        <f t="shared" si="44"/>
        <v>12226.451612903225</v>
      </c>
    </row>
    <row r="95" spans="1:31" x14ac:dyDescent="0.2">
      <c r="A95" s="64" t="s">
        <v>1519</v>
      </c>
      <c r="B95" s="65">
        <f t="shared" si="50"/>
        <v>90</v>
      </c>
      <c r="C95" s="65" t="s">
        <v>1520</v>
      </c>
      <c r="D95" s="65" t="s">
        <v>51</v>
      </c>
      <c r="E95" s="66" t="s">
        <v>239</v>
      </c>
      <c r="F95" s="67">
        <v>43041</v>
      </c>
      <c r="G95" s="65">
        <v>35</v>
      </c>
      <c r="H95" s="68">
        <f t="shared" si="35"/>
        <v>5645.1612903225805</v>
      </c>
      <c r="I95" s="68">
        <f t="shared" si="45"/>
        <v>0</v>
      </c>
      <c r="J95" s="68">
        <f t="shared" si="36"/>
        <v>282.25806451612902</v>
      </c>
      <c r="K95" s="68"/>
      <c r="L95" s="68">
        <f t="shared" si="46"/>
        <v>903.22580645161281</v>
      </c>
      <c r="M95" s="68"/>
      <c r="N95" s="68">
        <f>((1950+2000+1000)/G$3)*G95</f>
        <v>5588.7096774193551</v>
      </c>
      <c r="O95" s="68">
        <v>0</v>
      </c>
      <c r="P95" s="68">
        <v>0</v>
      </c>
      <c r="Q95" s="68">
        <v>129</v>
      </c>
      <c r="R95" s="68">
        <f t="shared" si="32"/>
        <v>12548.354838709678</v>
      </c>
      <c r="S95" s="69">
        <f t="shared" si="37"/>
        <v>677.41935483870964</v>
      </c>
      <c r="T95" s="69">
        <f t="shared" si="38"/>
        <v>220</v>
      </c>
      <c r="U95" s="68">
        <f t="shared" si="48"/>
        <v>200</v>
      </c>
      <c r="V95" s="68">
        <v>0</v>
      </c>
      <c r="W95" s="68">
        <f t="shared" si="39"/>
        <v>1097.4193548387098</v>
      </c>
      <c r="X95" s="68">
        <f t="shared" si="40"/>
        <v>11450.935483870968</v>
      </c>
      <c r="Y95" s="68">
        <v>0</v>
      </c>
      <c r="Z95" s="68">
        <f t="shared" si="49"/>
        <v>11450.935483870968</v>
      </c>
      <c r="AA95" s="69">
        <f t="shared" si="41"/>
        <v>742.33870967741939</v>
      </c>
      <c r="AB95" s="69">
        <f t="shared" si="42"/>
        <v>597</v>
      </c>
      <c r="AC95" s="70">
        <f t="shared" si="43"/>
        <v>0</v>
      </c>
      <c r="AD95" s="71">
        <f t="shared" si="33"/>
        <v>1339.3387096774195</v>
      </c>
      <c r="AE95" s="71">
        <f t="shared" si="44"/>
        <v>13887.693548387098</v>
      </c>
    </row>
    <row r="96" spans="1:31" x14ac:dyDescent="0.2">
      <c r="A96" s="64" t="s">
        <v>1521</v>
      </c>
      <c r="B96" s="65">
        <f t="shared" si="50"/>
        <v>91</v>
      </c>
      <c r="C96" s="65" t="s">
        <v>1522</v>
      </c>
      <c r="D96" s="65" t="s">
        <v>51</v>
      </c>
      <c r="E96" s="66" t="s">
        <v>658</v>
      </c>
      <c r="F96" s="67">
        <v>43042</v>
      </c>
      <c r="G96" s="65">
        <v>34</v>
      </c>
      <c r="H96" s="68">
        <f t="shared" si="35"/>
        <v>5483.8709677419356</v>
      </c>
      <c r="I96" s="68">
        <f t="shared" si="45"/>
        <v>0</v>
      </c>
      <c r="J96" s="68">
        <f t="shared" si="36"/>
        <v>274.19354838709677</v>
      </c>
      <c r="K96" s="68"/>
      <c r="L96" s="68">
        <f t="shared" si="46"/>
        <v>877.41935483870964</v>
      </c>
      <c r="M96" s="68"/>
      <c r="N96" s="68">
        <f t="shared" ref="N96:N112" si="54">((1950+2000+1000)/G$3)*G96</f>
        <v>5429.0322580645161</v>
      </c>
      <c r="O96" s="68">
        <v>0</v>
      </c>
      <c r="P96" s="68">
        <v>0</v>
      </c>
      <c r="Q96" s="68">
        <v>1000</v>
      </c>
      <c r="R96" s="68">
        <f t="shared" si="32"/>
        <v>13064.516129032258</v>
      </c>
      <c r="S96" s="69">
        <f t="shared" si="37"/>
        <v>658.0645161290322</v>
      </c>
      <c r="T96" s="69">
        <f t="shared" si="38"/>
        <v>229</v>
      </c>
      <c r="U96" s="68">
        <f t="shared" si="48"/>
        <v>200</v>
      </c>
      <c r="V96" s="68">
        <v>0</v>
      </c>
      <c r="W96" s="68">
        <f t="shared" si="39"/>
        <v>1087.0645161290322</v>
      </c>
      <c r="X96" s="68">
        <f t="shared" si="40"/>
        <v>11977.451612903225</v>
      </c>
      <c r="Y96" s="68">
        <v>435</v>
      </c>
      <c r="Z96" s="68">
        <f t="shared" si="49"/>
        <v>11542.451612903225</v>
      </c>
      <c r="AA96" s="69">
        <f t="shared" si="41"/>
        <v>721.12903225806451</v>
      </c>
      <c r="AB96" s="69">
        <f t="shared" si="42"/>
        <v>621</v>
      </c>
      <c r="AC96" s="70">
        <f t="shared" si="43"/>
        <v>0</v>
      </c>
      <c r="AD96" s="71">
        <f t="shared" si="33"/>
        <v>1342.1290322580644</v>
      </c>
      <c r="AE96" s="71">
        <f t="shared" si="44"/>
        <v>14406.645161290322</v>
      </c>
    </row>
    <row r="97" spans="1:31" x14ac:dyDescent="0.2">
      <c r="A97" s="64" t="s">
        <v>1523</v>
      </c>
      <c r="B97" s="65">
        <f t="shared" si="50"/>
        <v>92</v>
      </c>
      <c r="C97" s="65" t="s">
        <v>1524</v>
      </c>
      <c r="D97" s="65" t="s">
        <v>51</v>
      </c>
      <c r="E97" s="66" t="s">
        <v>238</v>
      </c>
      <c r="F97" s="67">
        <v>43042</v>
      </c>
      <c r="G97" s="65">
        <v>32</v>
      </c>
      <c r="H97" s="68">
        <f t="shared" si="35"/>
        <v>5161.2903225806449</v>
      </c>
      <c r="I97" s="68">
        <f t="shared" si="45"/>
        <v>0</v>
      </c>
      <c r="J97" s="68">
        <f t="shared" si="36"/>
        <v>258.06451612903226</v>
      </c>
      <c r="K97" s="68"/>
      <c r="L97" s="68">
        <f t="shared" si="46"/>
        <v>825.80645161290317</v>
      </c>
      <c r="M97" s="68"/>
      <c r="N97" s="68">
        <f t="shared" si="54"/>
        <v>5109.677419354839</v>
      </c>
      <c r="O97" s="68">
        <v>0</v>
      </c>
      <c r="P97" s="68">
        <v>0</v>
      </c>
      <c r="Q97" s="68">
        <v>0</v>
      </c>
      <c r="R97" s="68">
        <f t="shared" si="32"/>
        <v>11354.83870967742</v>
      </c>
      <c r="S97" s="69">
        <f t="shared" si="37"/>
        <v>619.35483870967732</v>
      </c>
      <c r="T97" s="69">
        <f t="shared" si="38"/>
        <v>199</v>
      </c>
      <c r="U97" s="68">
        <f t="shared" si="48"/>
        <v>200</v>
      </c>
      <c r="V97" s="68">
        <v>0</v>
      </c>
      <c r="W97" s="68">
        <f t="shared" si="39"/>
        <v>1018.3548387096773</v>
      </c>
      <c r="X97" s="68">
        <f t="shared" si="40"/>
        <v>10336.483870967742</v>
      </c>
      <c r="Y97" s="68">
        <v>0</v>
      </c>
      <c r="Z97" s="68">
        <f t="shared" si="49"/>
        <v>10336.483870967742</v>
      </c>
      <c r="AA97" s="69">
        <f t="shared" si="41"/>
        <v>678.70967741935488</v>
      </c>
      <c r="AB97" s="69">
        <f t="shared" si="42"/>
        <v>540</v>
      </c>
      <c r="AC97" s="70">
        <f t="shared" si="43"/>
        <v>0</v>
      </c>
      <c r="AD97" s="71">
        <f t="shared" si="33"/>
        <v>1218.7096774193549</v>
      </c>
      <c r="AE97" s="71">
        <f t="shared" si="44"/>
        <v>12573.548387096775</v>
      </c>
    </row>
    <row r="98" spans="1:31" x14ac:dyDescent="0.2">
      <c r="A98" s="64" t="s">
        <v>1525</v>
      </c>
      <c r="B98" s="65">
        <f t="shared" si="50"/>
        <v>93</v>
      </c>
      <c r="C98" s="65" t="s">
        <v>1526</v>
      </c>
      <c r="D98" s="65" t="s">
        <v>51</v>
      </c>
      <c r="E98" s="66" t="s">
        <v>658</v>
      </c>
      <c r="F98" s="67">
        <v>43044</v>
      </c>
      <c r="G98" s="65">
        <v>27</v>
      </c>
      <c r="H98" s="68">
        <f t="shared" si="35"/>
        <v>4354.8387096774195</v>
      </c>
      <c r="I98" s="68">
        <f t="shared" si="45"/>
        <v>0</v>
      </c>
      <c r="J98" s="68">
        <f t="shared" si="36"/>
        <v>217.74193548387098</v>
      </c>
      <c r="K98" s="68"/>
      <c r="L98" s="68">
        <f t="shared" si="46"/>
        <v>696.77419354838707</v>
      </c>
      <c r="M98" s="68"/>
      <c r="N98" s="68">
        <f t="shared" si="54"/>
        <v>4311.2903225806458</v>
      </c>
      <c r="O98" s="68">
        <v>0</v>
      </c>
      <c r="P98" s="68">
        <v>0</v>
      </c>
      <c r="Q98" s="68">
        <v>371</v>
      </c>
      <c r="R98" s="68">
        <f t="shared" si="32"/>
        <v>9951.6451612903238</v>
      </c>
      <c r="S98" s="69">
        <f t="shared" si="37"/>
        <v>522.58064516129036</v>
      </c>
      <c r="T98" s="69">
        <f t="shared" si="38"/>
        <v>175</v>
      </c>
      <c r="U98" s="68">
        <f t="shared" si="48"/>
        <v>175</v>
      </c>
      <c r="V98" s="68">
        <v>0</v>
      </c>
      <c r="W98" s="68">
        <f t="shared" si="39"/>
        <v>872.58064516129036</v>
      </c>
      <c r="X98" s="68">
        <f t="shared" si="40"/>
        <v>9079.064516129034</v>
      </c>
      <c r="Y98" s="68">
        <v>0</v>
      </c>
      <c r="Z98" s="68">
        <f t="shared" si="49"/>
        <v>9079.064516129034</v>
      </c>
      <c r="AA98" s="69">
        <f t="shared" si="41"/>
        <v>572.66129032258073</v>
      </c>
      <c r="AB98" s="69">
        <f t="shared" si="42"/>
        <v>473</v>
      </c>
      <c r="AC98" s="70">
        <f t="shared" si="43"/>
        <v>0</v>
      </c>
      <c r="AD98" s="71">
        <f t="shared" si="33"/>
        <v>1045.6612903225807</v>
      </c>
      <c r="AE98" s="71">
        <f t="shared" si="44"/>
        <v>10997.306451612905</v>
      </c>
    </row>
    <row r="99" spans="1:31" x14ac:dyDescent="0.2">
      <c r="A99" s="64" t="s">
        <v>1527</v>
      </c>
      <c r="B99" s="65">
        <f t="shared" si="50"/>
        <v>94</v>
      </c>
      <c r="C99" s="65" t="s">
        <v>1528</v>
      </c>
      <c r="D99" s="65" t="s">
        <v>51</v>
      </c>
      <c r="E99" s="66" t="s">
        <v>1529</v>
      </c>
      <c r="F99" s="67">
        <v>43044</v>
      </c>
      <c r="G99" s="65">
        <v>11</v>
      </c>
      <c r="H99" s="68">
        <f t="shared" si="35"/>
        <v>1774.1935483870966</v>
      </c>
      <c r="I99" s="68">
        <f t="shared" si="45"/>
        <v>0</v>
      </c>
      <c r="J99" s="68">
        <f t="shared" si="36"/>
        <v>88.709677419354833</v>
      </c>
      <c r="K99" s="68"/>
      <c r="L99" s="68">
        <f t="shared" si="46"/>
        <v>283.87096774193549</v>
      </c>
      <c r="M99" s="68"/>
      <c r="N99" s="68">
        <f>((1950+2000+0)/G$3)*G99</f>
        <v>1401.6129032258066</v>
      </c>
      <c r="O99" s="68">
        <v>0</v>
      </c>
      <c r="P99" s="68">
        <v>0</v>
      </c>
      <c r="Q99" s="68">
        <v>48</v>
      </c>
      <c r="R99" s="68">
        <f t="shared" si="32"/>
        <v>3596.3870967741932</v>
      </c>
      <c r="S99" s="69">
        <f t="shared" si="37"/>
        <v>212.90322580645159</v>
      </c>
      <c r="T99" s="69">
        <f t="shared" si="38"/>
        <v>63</v>
      </c>
      <c r="U99" s="68">
        <f t="shared" si="48"/>
        <v>0</v>
      </c>
      <c r="V99" s="68">
        <v>0</v>
      </c>
      <c r="W99" s="68">
        <f t="shared" si="39"/>
        <v>275.90322580645159</v>
      </c>
      <c r="X99" s="68">
        <f t="shared" si="40"/>
        <v>3320.4838709677415</v>
      </c>
      <c r="Y99" s="68">
        <v>0</v>
      </c>
      <c r="Z99" s="68">
        <f t="shared" si="49"/>
        <v>3320.4838709677415</v>
      </c>
      <c r="AA99" s="69">
        <f t="shared" si="41"/>
        <v>233.3064516129032</v>
      </c>
      <c r="AB99" s="69">
        <f t="shared" si="42"/>
        <v>171</v>
      </c>
      <c r="AC99" s="70">
        <f t="shared" si="43"/>
        <v>0</v>
      </c>
      <c r="AD99" s="71">
        <f t="shared" si="33"/>
        <v>404.30645161290317</v>
      </c>
      <c r="AE99" s="71">
        <f t="shared" si="44"/>
        <v>4000.6935483870966</v>
      </c>
    </row>
    <row r="100" spans="1:31" x14ac:dyDescent="0.2">
      <c r="A100" s="64" t="s">
        <v>1530</v>
      </c>
      <c r="B100" s="65">
        <f t="shared" si="50"/>
        <v>95</v>
      </c>
      <c r="C100" s="65" t="s">
        <v>1531</v>
      </c>
      <c r="D100" s="65" t="s">
        <v>51</v>
      </c>
      <c r="E100" s="66" t="s">
        <v>658</v>
      </c>
      <c r="F100" s="67">
        <v>43044</v>
      </c>
      <c r="G100" s="65">
        <v>25</v>
      </c>
      <c r="H100" s="68">
        <f t="shared" si="35"/>
        <v>4032.2580645161288</v>
      </c>
      <c r="I100" s="68">
        <f t="shared" si="45"/>
        <v>0</v>
      </c>
      <c r="J100" s="68">
        <f t="shared" si="36"/>
        <v>201.61290322580646</v>
      </c>
      <c r="K100" s="68"/>
      <c r="L100" s="68">
        <f t="shared" si="46"/>
        <v>645.16129032258061</v>
      </c>
      <c r="M100" s="68"/>
      <c r="N100" s="68">
        <f t="shared" si="54"/>
        <v>3991.9354838709678</v>
      </c>
      <c r="O100" s="68">
        <v>0</v>
      </c>
      <c r="P100" s="68">
        <v>0</v>
      </c>
      <c r="Q100" s="68">
        <v>355</v>
      </c>
      <c r="R100" s="68">
        <f t="shared" si="32"/>
        <v>9225.9677419354848</v>
      </c>
      <c r="S100" s="69">
        <f t="shared" si="37"/>
        <v>483.87096774193543</v>
      </c>
      <c r="T100" s="69">
        <f t="shared" si="38"/>
        <v>162</v>
      </c>
      <c r="U100" s="68">
        <f t="shared" si="48"/>
        <v>175</v>
      </c>
      <c r="V100" s="68">
        <v>0</v>
      </c>
      <c r="W100" s="68">
        <f t="shared" si="39"/>
        <v>820.87096774193537</v>
      </c>
      <c r="X100" s="68">
        <f t="shared" si="40"/>
        <v>8405.0967741935492</v>
      </c>
      <c r="Y100" s="68">
        <v>0</v>
      </c>
      <c r="Z100" s="68">
        <f t="shared" si="49"/>
        <v>8405.0967741935492</v>
      </c>
      <c r="AA100" s="69">
        <f t="shared" si="41"/>
        <v>530.24193548387098</v>
      </c>
      <c r="AB100" s="69">
        <f t="shared" si="42"/>
        <v>439</v>
      </c>
      <c r="AC100" s="70">
        <f t="shared" si="43"/>
        <v>0</v>
      </c>
      <c r="AD100" s="71">
        <f t="shared" si="33"/>
        <v>969.24193548387098</v>
      </c>
      <c r="AE100" s="71">
        <f t="shared" si="44"/>
        <v>10195.209677419356</v>
      </c>
    </row>
    <row r="101" spans="1:31" x14ac:dyDescent="0.2">
      <c r="A101" s="64" t="s">
        <v>1532</v>
      </c>
      <c r="B101" s="65">
        <f t="shared" si="50"/>
        <v>96</v>
      </c>
      <c r="C101" s="65" t="s">
        <v>1533</v>
      </c>
      <c r="D101" s="65" t="s">
        <v>51</v>
      </c>
      <c r="E101" s="66" t="s">
        <v>239</v>
      </c>
      <c r="F101" s="67">
        <v>43044</v>
      </c>
      <c r="G101" s="65">
        <v>29</v>
      </c>
      <c r="H101" s="68">
        <f t="shared" si="35"/>
        <v>4677.4193548387093</v>
      </c>
      <c r="I101" s="68">
        <f t="shared" si="45"/>
        <v>0</v>
      </c>
      <c r="J101" s="68">
        <f t="shared" si="36"/>
        <v>233.87096774193549</v>
      </c>
      <c r="K101" s="68"/>
      <c r="L101" s="68">
        <f t="shared" si="46"/>
        <v>748.38709677419354</v>
      </c>
      <c r="M101" s="68"/>
      <c r="N101" s="68">
        <f t="shared" si="54"/>
        <v>4630.6451612903229</v>
      </c>
      <c r="O101" s="68">
        <v>0</v>
      </c>
      <c r="P101" s="68">
        <v>0</v>
      </c>
      <c r="Q101" s="68">
        <v>65</v>
      </c>
      <c r="R101" s="68">
        <f t="shared" si="32"/>
        <v>10355.322580645161</v>
      </c>
      <c r="S101" s="69">
        <f t="shared" si="37"/>
        <v>561.29032258064512</v>
      </c>
      <c r="T101" s="69">
        <f t="shared" si="38"/>
        <v>182</v>
      </c>
      <c r="U101" s="68">
        <f t="shared" si="48"/>
        <v>200</v>
      </c>
      <c r="V101" s="68">
        <v>0</v>
      </c>
      <c r="W101" s="68">
        <f t="shared" si="39"/>
        <v>943.29032258064512</v>
      </c>
      <c r="X101" s="68">
        <f t="shared" si="40"/>
        <v>9412.0322580645152</v>
      </c>
      <c r="Y101" s="68">
        <v>0</v>
      </c>
      <c r="Z101" s="68">
        <f t="shared" si="49"/>
        <v>9412.0322580645152</v>
      </c>
      <c r="AA101" s="69">
        <f t="shared" si="41"/>
        <v>615.08064516129025</v>
      </c>
      <c r="AB101" s="69">
        <f t="shared" si="42"/>
        <v>492</v>
      </c>
      <c r="AC101" s="70">
        <f t="shared" si="43"/>
        <v>0</v>
      </c>
      <c r="AD101" s="71">
        <f t="shared" si="33"/>
        <v>1107.0806451612902</v>
      </c>
      <c r="AE101" s="71">
        <f t="shared" si="44"/>
        <v>11462.403225806451</v>
      </c>
    </row>
    <row r="102" spans="1:31" x14ac:dyDescent="0.2">
      <c r="A102" s="64" t="s">
        <v>1534</v>
      </c>
      <c r="B102" s="65">
        <f t="shared" si="50"/>
        <v>97</v>
      </c>
      <c r="C102" s="65" t="s">
        <v>1535</v>
      </c>
      <c r="D102" s="65" t="s">
        <v>51</v>
      </c>
      <c r="E102" s="66" t="s">
        <v>581</v>
      </c>
      <c r="F102" s="67">
        <v>43046</v>
      </c>
      <c r="G102" s="65">
        <v>34</v>
      </c>
      <c r="H102" s="68">
        <f t="shared" si="35"/>
        <v>5483.8709677419356</v>
      </c>
      <c r="I102" s="68">
        <f t="shared" si="45"/>
        <v>0</v>
      </c>
      <c r="J102" s="68">
        <f t="shared" si="36"/>
        <v>274.19354838709677</v>
      </c>
      <c r="K102" s="68"/>
      <c r="L102" s="68">
        <f t="shared" si="46"/>
        <v>877.41935483870964</v>
      </c>
      <c r="M102" s="68"/>
      <c r="N102" s="68">
        <f t="shared" si="54"/>
        <v>5429.0322580645161</v>
      </c>
      <c r="O102" s="68">
        <v>0</v>
      </c>
      <c r="P102" s="68">
        <v>0</v>
      </c>
      <c r="Q102" s="68">
        <v>355</v>
      </c>
      <c r="R102" s="68">
        <f t="shared" si="32"/>
        <v>12419.516129032258</v>
      </c>
      <c r="S102" s="69">
        <f t="shared" si="37"/>
        <v>658.0645161290322</v>
      </c>
      <c r="T102" s="69">
        <f t="shared" si="38"/>
        <v>218</v>
      </c>
      <c r="U102" s="68">
        <f t="shared" si="48"/>
        <v>200</v>
      </c>
      <c r="V102" s="68">
        <v>0</v>
      </c>
      <c r="W102" s="68">
        <f t="shared" ref="W102:W133" si="55">SUM(S102:V102)</f>
        <v>1076.0645161290322</v>
      </c>
      <c r="X102" s="68">
        <f t="shared" si="40"/>
        <v>11343.451612903225</v>
      </c>
      <c r="Y102" s="68">
        <v>0</v>
      </c>
      <c r="Z102" s="68">
        <f t="shared" si="49"/>
        <v>11343.451612903225</v>
      </c>
      <c r="AA102" s="69">
        <f t="shared" si="41"/>
        <v>721.12903225806451</v>
      </c>
      <c r="AB102" s="69">
        <f t="shared" si="42"/>
        <v>590</v>
      </c>
      <c r="AC102" s="70">
        <f t="shared" si="43"/>
        <v>0</v>
      </c>
      <c r="AD102" s="71">
        <f t="shared" si="33"/>
        <v>1311.1290322580644</v>
      </c>
      <c r="AE102" s="71">
        <f t="shared" si="44"/>
        <v>13730.645161290322</v>
      </c>
    </row>
    <row r="103" spans="1:31" x14ac:dyDescent="0.2">
      <c r="A103" s="64" t="s">
        <v>1536</v>
      </c>
      <c r="B103" s="65">
        <f t="shared" si="50"/>
        <v>98</v>
      </c>
      <c r="C103" s="65" t="s">
        <v>1537</v>
      </c>
      <c r="D103" s="65" t="s">
        <v>51</v>
      </c>
      <c r="E103" s="66" t="s">
        <v>658</v>
      </c>
      <c r="F103" s="67">
        <v>43047</v>
      </c>
      <c r="G103" s="65">
        <v>32</v>
      </c>
      <c r="H103" s="68">
        <f t="shared" si="35"/>
        <v>5161.2903225806449</v>
      </c>
      <c r="I103" s="68">
        <f t="shared" si="45"/>
        <v>0</v>
      </c>
      <c r="J103" s="68">
        <f t="shared" si="36"/>
        <v>258.06451612903226</v>
      </c>
      <c r="K103" s="68"/>
      <c r="L103" s="68">
        <f t="shared" si="46"/>
        <v>825.80645161290317</v>
      </c>
      <c r="M103" s="68"/>
      <c r="N103" s="68">
        <f t="shared" si="54"/>
        <v>5109.677419354839</v>
      </c>
      <c r="O103" s="68">
        <v>0</v>
      </c>
      <c r="P103" s="68">
        <v>0</v>
      </c>
      <c r="Q103" s="68">
        <v>0</v>
      </c>
      <c r="R103" s="68">
        <f t="shared" si="32"/>
        <v>11354.83870967742</v>
      </c>
      <c r="S103" s="69">
        <f t="shared" si="37"/>
        <v>619.35483870967732</v>
      </c>
      <c r="T103" s="69">
        <f t="shared" si="38"/>
        <v>199</v>
      </c>
      <c r="U103" s="68">
        <f t="shared" si="48"/>
        <v>200</v>
      </c>
      <c r="V103" s="68">
        <v>0</v>
      </c>
      <c r="W103" s="68">
        <f t="shared" si="55"/>
        <v>1018.3548387096773</v>
      </c>
      <c r="X103" s="68">
        <f t="shared" si="40"/>
        <v>10336.483870967742</v>
      </c>
      <c r="Y103" s="68">
        <v>0</v>
      </c>
      <c r="Z103" s="68">
        <f t="shared" si="49"/>
        <v>10336.483870967742</v>
      </c>
      <c r="AA103" s="69">
        <f t="shared" si="41"/>
        <v>678.70967741935488</v>
      </c>
      <c r="AB103" s="69">
        <f t="shared" si="42"/>
        <v>540</v>
      </c>
      <c r="AC103" s="70">
        <f t="shared" si="43"/>
        <v>0</v>
      </c>
      <c r="AD103" s="71">
        <f t="shared" si="33"/>
        <v>1218.7096774193549</v>
      </c>
      <c r="AE103" s="71">
        <f t="shared" si="44"/>
        <v>12573.548387096775</v>
      </c>
    </row>
    <row r="104" spans="1:31" x14ac:dyDescent="0.2">
      <c r="A104" s="64" t="s">
        <v>1538</v>
      </c>
      <c r="B104" s="65">
        <f t="shared" si="50"/>
        <v>99</v>
      </c>
      <c r="C104" s="65" t="s">
        <v>1539</v>
      </c>
      <c r="D104" s="65" t="s">
        <v>51</v>
      </c>
      <c r="E104" s="66" t="s">
        <v>658</v>
      </c>
      <c r="F104" s="67">
        <v>43048</v>
      </c>
      <c r="G104" s="65">
        <v>33</v>
      </c>
      <c r="H104" s="68">
        <f t="shared" si="35"/>
        <v>5322.5806451612898</v>
      </c>
      <c r="I104" s="68">
        <f t="shared" si="45"/>
        <v>0</v>
      </c>
      <c r="J104" s="68">
        <f t="shared" si="36"/>
        <v>266.12903225806451</v>
      </c>
      <c r="K104" s="68"/>
      <c r="L104" s="68">
        <f t="shared" si="46"/>
        <v>851.61290322580635</v>
      </c>
      <c r="M104" s="68"/>
      <c r="N104" s="68">
        <f t="shared" si="54"/>
        <v>5269.354838709678</v>
      </c>
      <c r="O104" s="68">
        <v>0</v>
      </c>
      <c r="P104" s="68">
        <v>0</v>
      </c>
      <c r="Q104" s="68">
        <v>1419</v>
      </c>
      <c r="R104" s="68">
        <f t="shared" si="32"/>
        <v>13128.677419354839</v>
      </c>
      <c r="S104" s="69">
        <f t="shared" si="37"/>
        <v>638.70967741935476</v>
      </c>
      <c r="T104" s="69">
        <f t="shared" si="38"/>
        <v>230</v>
      </c>
      <c r="U104" s="68">
        <f t="shared" si="48"/>
        <v>200</v>
      </c>
      <c r="V104" s="68">
        <v>0</v>
      </c>
      <c r="W104" s="68">
        <f t="shared" si="55"/>
        <v>1068.7096774193546</v>
      </c>
      <c r="X104" s="68">
        <f t="shared" si="40"/>
        <v>12059.967741935485</v>
      </c>
      <c r="Y104" s="68">
        <v>0</v>
      </c>
      <c r="Z104" s="68">
        <f t="shared" si="49"/>
        <v>12059.967741935485</v>
      </c>
      <c r="AA104" s="69">
        <f t="shared" si="41"/>
        <v>699.91935483870964</v>
      </c>
      <c r="AB104" s="69">
        <f t="shared" si="42"/>
        <v>624</v>
      </c>
      <c r="AC104" s="70">
        <f t="shared" si="43"/>
        <v>0</v>
      </c>
      <c r="AD104" s="71">
        <f t="shared" si="33"/>
        <v>1323.9193548387098</v>
      </c>
      <c r="AE104" s="71">
        <f t="shared" si="44"/>
        <v>14452.596774193549</v>
      </c>
    </row>
    <row r="105" spans="1:31" x14ac:dyDescent="0.2">
      <c r="A105" s="64" t="s">
        <v>1540</v>
      </c>
      <c r="B105" s="65">
        <f t="shared" si="50"/>
        <v>100</v>
      </c>
      <c r="C105" s="65" t="s">
        <v>1541</v>
      </c>
      <c r="D105" s="65" t="s">
        <v>51</v>
      </c>
      <c r="E105" s="66" t="s">
        <v>658</v>
      </c>
      <c r="F105" s="67">
        <v>43049</v>
      </c>
      <c r="G105" s="65">
        <v>30</v>
      </c>
      <c r="H105" s="68">
        <f t="shared" si="35"/>
        <v>4838.7096774193542</v>
      </c>
      <c r="I105" s="68">
        <f t="shared" si="45"/>
        <v>0</v>
      </c>
      <c r="J105" s="68">
        <f t="shared" si="36"/>
        <v>241.93548387096772</v>
      </c>
      <c r="K105" s="68"/>
      <c r="L105" s="68">
        <f t="shared" si="46"/>
        <v>774.19354838709671</v>
      </c>
      <c r="M105" s="68"/>
      <c r="N105" s="68">
        <f t="shared" si="54"/>
        <v>4790.3225806451619</v>
      </c>
      <c r="O105" s="68">
        <v>0</v>
      </c>
      <c r="P105" s="68">
        <v>0</v>
      </c>
      <c r="Q105" s="68">
        <v>0</v>
      </c>
      <c r="R105" s="68">
        <f t="shared" si="32"/>
        <v>10645.16129032258</v>
      </c>
      <c r="S105" s="69">
        <f t="shared" si="37"/>
        <v>580.64516129032245</v>
      </c>
      <c r="T105" s="69">
        <f t="shared" si="38"/>
        <v>187</v>
      </c>
      <c r="U105" s="68">
        <f t="shared" si="48"/>
        <v>200</v>
      </c>
      <c r="V105" s="68">
        <v>0</v>
      </c>
      <c r="W105" s="68">
        <f t="shared" si="55"/>
        <v>967.64516129032245</v>
      </c>
      <c r="X105" s="68">
        <f t="shared" si="40"/>
        <v>9677.5161290322576</v>
      </c>
      <c r="Y105" s="68">
        <v>0</v>
      </c>
      <c r="Z105" s="68">
        <f t="shared" si="49"/>
        <v>9677.5161290322576</v>
      </c>
      <c r="AA105" s="69">
        <f t="shared" si="41"/>
        <v>636.29032258064512</v>
      </c>
      <c r="AB105" s="69">
        <f t="shared" si="42"/>
        <v>506</v>
      </c>
      <c r="AC105" s="70">
        <f t="shared" si="43"/>
        <v>0</v>
      </c>
      <c r="AD105" s="71">
        <f t="shared" si="33"/>
        <v>1142.2903225806451</v>
      </c>
      <c r="AE105" s="71">
        <f t="shared" si="44"/>
        <v>11787.451612903225</v>
      </c>
    </row>
    <row r="106" spans="1:31" x14ac:dyDescent="0.2">
      <c r="A106" s="64" t="s">
        <v>1542</v>
      </c>
      <c r="B106" s="65">
        <f t="shared" si="50"/>
        <v>101</v>
      </c>
      <c r="C106" s="65" t="s">
        <v>1543</v>
      </c>
      <c r="D106" s="65" t="s">
        <v>51</v>
      </c>
      <c r="E106" s="66" t="s">
        <v>658</v>
      </c>
      <c r="F106" s="67">
        <v>43050</v>
      </c>
      <c r="G106" s="65">
        <v>34</v>
      </c>
      <c r="H106" s="68">
        <f t="shared" si="35"/>
        <v>5483.8709677419356</v>
      </c>
      <c r="I106" s="68">
        <f t="shared" si="45"/>
        <v>0</v>
      </c>
      <c r="J106" s="68">
        <f t="shared" si="36"/>
        <v>274.19354838709677</v>
      </c>
      <c r="K106" s="68"/>
      <c r="L106" s="68">
        <f t="shared" si="46"/>
        <v>877.41935483870964</v>
      </c>
      <c r="M106" s="68"/>
      <c r="N106" s="68">
        <f t="shared" si="54"/>
        <v>5429.0322580645161</v>
      </c>
      <c r="O106" s="68">
        <v>0</v>
      </c>
      <c r="P106" s="68">
        <v>0</v>
      </c>
      <c r="Q106" s="68">
        <v>0</v>
      </c>
      <c r="R106" s="68">
        <f t="shared" si="32"/>
        <v>12064.516129032258</v>
      </c>
      <c r="S106" s="69">
        <f t="shared" si="37"/>
        <v>658.0645161290322</v>
      </c>
      <c r="T106" s="69">
        <f t="shared" si="38"/>
        <v>212</v>
      </c>
      <c r="U106" s="68">
        <f t="shared" si="48"/>
        <v>200</v>
      </c>
      <c r="V106" s="68">
        <v>0</v>
      </c>
      <c r="W106" s="68">
        <f t="shared" si="55"/>
        <v>1070.0645161290322</v>
      </c>
      <c r="X106" s="68">
        <f t="shared" si="40"/>
        <v>10994.451612903225</v>
      </c>
      <c r="Y106" s="68">
        <v>0</v>
      </c>
      <c r="Z106" s="68">
        <f t="shared" si="49"/>
        <v>10994.451612903225</v>
      </c>
      <c r="AA106" s="69">
        <f t="shared" si="41"/>
        <v>721.12903225806451</v>
      </c>
      <c r="AB106" s="69">
        <f t="shared" si="42"/>
        <v>574</v>
      </c>
      <c r="AC106" s="70">
        <f t="shared" si="43"/>
        <v>0</v>
      </c>
      <c r="AD106" s="71">
        <f t="shared" si="33"/>
        <v>1295.1290322580644</v>
      </c>
      <c r="AE106" s="71">
        <f t="shared" si="44"/>
        <v>13359.645161290322</v>
      </c>
    </row>
    <row r="107" spans="1:31" x14ac:dyDescent="0.2">
      <c r="A107" s="64" t="s">
        <v>1544</v>
      </c>
      <c r="B107" s="65">
        <f t="shared" si="50"/>
        <v>102</v>
      </c>
      <c r="C107" s="65" t="s">
        <v>1545</v>
      </c>
      <c r="D107" s="65" t="s">
        <v>51</v>
      </c>
      <c r="E107" s="66" t="s">
        <v>238</v>
      </c>
      <c r="F107" s="67">
        <v>43056</v>
      </c>
      <c r="G107" s="65">
        <v>32</v>
      </c>
      <c r="H107" s="68">
        <f t="shared" si="35"/>
        <v>5161.2903225806449</v>
      </c>
      <c r="I107" s="68">
        <f t="shared" si="45"/>
        <v>0</v>
      </c>
      <c r="J107" s="68">
        <f t="shared" si="36"/>
        <v>258.06451612903226</v>
      </c>
      <c r="K107" s="68"/>
      <c r="L107" s="68">
        <f t="shared" si="46"/>
        <v>825.80645161290317</v>
      </c>
      <c r="M107" s="68"/>
      <c r="N107" s="68">
        <f t="shared" si="54"/>
        <v>5109.677419354839</v>
      </c>
      <c r="O107" s="68">
        <v>0</v>
      </c>
      <c r="P107" s="68">
        <v>0</v>
      </c>
      <c r="Q107" s="68">
        <v>0</v>
      </c>
      <c r="R107" s="68">
        <f t="shared" si="32"/>
        <v>11354.83870967742</v>
      </c>
      <c r="S107" s="69">
        <f t="shared" si="37"/>
        <v>619.35483870967732</v>
      </c>
      <c r="T107" s="69">
        <f t="shared" si="38"/>
        <v>199</v>
      </c>
      <c r="U107" s="68">
        <f t="shared" si="48"/>
        <v>200</v>
      </c>
      <c r="V107" s="68">
        <v>0</v>
      </c>
      <c r="W107" s="68">
        <f t="shared" si="55"/>
        <v>1018.3548387096773</v>
      </c>
      <c r="X107" s="68">
        <f t="shared" si="40"/>
        <v>10336.483870967742</v>
      </c>
      <c r="Y107" s="68">
        <v>0</v>
      </c>
      <c r="Z107" s="68">
        <f t="shared" si="49"/>
        <v>10336.483870967742</v>
      </c>
      <c r="AA107" s="69">
        <f t="shared" si="41"/>
        <v>678.70967741935488</v>
      </c>
      <c r="AB107" s="69">
        <f t="shared" si="42"/>
        <v>540</v>
      </c>
      <c r="AC107" s="70">
        <f t="shared" si="43"/>
        <v>0</v>
      </c>
      <c r="AD107" s="71">
        <f t="shared" si="33"/>
        <v>1218.7096774193549</v>
      </c>
      <c r="AE107" s="71">
        <f t="shared" si="44"/>
        <v>12573.548387096775</v>
      </c>
    </row>
    <row r="108" spans="1:31" x14ac:dyDescent="0.2">
      <c r="A108" s="64" t="s">
        <v>1546</v>
      </c>
      <c r="B108" s="65">
        <f t="shared" si="50"/>
        <v>103</v>
      </c>
      <c r="C108" s="65" t="s">
        <v>1547</v>
      </c>
      <c r="D108" s="65" t="s">
        <v>51</v>
      </c>
      <c r="E108" s="66" t="s">
        <v>237</v>
      </c>
      <c r="F108" s="67">
        <v>43057</v>
      </c>
      <c r="G108" s="65">
        <v>33</v>
      </c>
      <c r="H108" s="68">
        <f t="shared" si="35"/>
        <v>5322.5806451612898</v>
      </c>
      <c r="I108" s="68">
        <f t="shared" si="45"/>
        <v>0</v>
      </c>
      <c r="J108" s="68">
        <f t="shared" si="36"/>
        <v>266.12903225806451</v>
      </c>
      <c r="K108" s="68"/>
      <c r="L108" s="68">
        <f t="shared" si="46"/>
        <v>851.61290322580635</v>
      </c>
      <c r="M108" s="68"/>
      <c r="N108" s="68">
        <f t="shared" si="54"/>
        <v>5269.354838709678</v>
      </c>
      <c r="O108" s="68">
        <v>0</v>
      </c>
      <c r="P108" s="68">
        <v>0</v>
      </c>
      <c r="Q108" s="68">
        <v>0</v>
      </c>
      <c r="R108" s="68">
        <f t="shared" si="32"/>
        <v>11709.677419354839</v>
      </c>
      <c r="S108" s="69">
        <f t="shared" si="37"/>
        <v>638.70967741935476</v>
      </c>
      <c r="T108" s="69">
        <f t="shared" si="38"/>
        <v>205</v>
      </c>
      <c r="U108" s="68">
        <f t="shared" si="48"/>
        <v>200</v>
      </c>
      <c r="V108" s="68">
        <v>0</v>
      </c>
      <c r="W108" s="68">
        <f t="shared" si="55"/>
        <v>1043.7096774193546</v>
      </c>
      <c r="X108" s="68">
        <f t="shared" si="40"/>
        <v>10665.967741935485</v>
      </c>
      <c r="Y108" s="68">
        <v>0</v>
      </c>
      <c r="Z108" s="68">
        <f t="shared" si="49"/>
        <v>10665.967741935485</v>
      </c>
      <c r="AA108" s="69">
        <f t="shared" si="41"/>
        <v>699.91935483870964</v>
      </c>
      <c r="AB108" s="69">
        <f t="shared" si="42"/>
        <v>557</v>
      </c>
      <c r="AC108" s="70">
        <f t="shared" si="43"/>
        <v>0</v>
      </c>
      <c r="AD108" s="71">
        <f t="shared" si="33"/>
        <v>1256.9193548387098</v>
      </c>
      <c r="AE108" s="71">
        <f t="shared" si="44"/>
        <v>12966.596774193549</v>
      </c>
    </row>
    <row r="109" spans="1:31" x14ac:dyDescent="0.2">
      <c r="A109" s="64" t="s">
        <v>1548</v>
      </c>
      <c r="B109" s="65">
        <f t="shared" si="50"/>
        <v>104</v>
      </c>
      <c r="C109" s="65" t="s">
        <v>1549</v>
      </c>
      <c r="D109" s="65" t="s">
        <v>51</v>
      </c>
      <c r="E109" s="66" t="s">
        <v>238</v>
      </c>
      <c r="F109" s="67">
        <v>43061</v>
      </c>
      <c r="G109" s="65">
        <v>36</v>
      </c>
      <c r="H109" s="68">
        <f t="shared" si="35"/>
        <v>5806.4516129032254</v>
      </c>
      <c r="I109" s="68">
        <f t="shared" si="45"/>
        <v>0</v>
      </c>
      <c r="J109" s="68">
        <f t="shared" si="36"/>
        <v>290.32258064516128</v>
      </c>
      <c r="K109" s="68"/>
      <c r="L109" s="68">
        <f t="shared" si="46"/>
        <v>929.0322580645161</v>
      </c>
      <c r="M109" s="68"/>
      <c r="N109" s="68">
        <f t="shared" si="54"/>
        <v>5748.3870967741941</v>
      </c>
      <c r="O109" s="68">
        <v>0</v>
      </c>
      <c r="P109" s="68">
        <v>0</v>
      </c>
      <c r="Q109" s="68">
        <v>0</v>
      </c>
      <c r="R109" s="68">
        <f t="shared" si="32"/>
        <v>12774.193548387097</v>
      </c>
      <c r="S109" s="69">
        <f t="shared" si="37"/>
        <v>696.77419354838707</v>
      </c>
      <c r="T109" s="69">
        <f t="shared" si="38"/>
        <v>224</v>
      </c>
      <c r="U109" s="68">
        <f t="shared" si="48"/>
        <v>200</v>
      </c>
      <c r="V109" s="68">
        <v>0</v>
      </c>
      <c r="W109" s="68">
        <f t="shared" si="55"/>
        <v>1120.7741935483871</v>
      </c>
      <c r="X109" s="68">
        <f t="shared" si="40"/>
        <v>11653.41935483871</v>
      </c>
      <c r="Y109" s="68">
        <v>0</v>
      </c>
      <c r="Z109" s="68">
        <f t="shared" si="49"/>
        <v>11653.41935483871</v>
      </c>
      <c r="AA109" s="69">
        <f t="shared" si="41"/>
        <v>763.54838709677415</v>
      </c>
      <c r="AB109" s="69">
        <f t="shared" si="42"/>
        <v>607</v>
      </c>
      <c r="AC109" s="70">
        <f t="shared" si="43"/>
        <v>0</v>
      </c>
      <c r="AD109" s="71">
        <f t="shared" si="33"/>
        <v>1370.5483870967741</v>
      </c>
      <c r="AE109" s="71">
        <f t="shared" si="44"/>
        <v>14144.741935483871</v>
      </c>
    </row>
    <row r="110" spans="1:31" x14ac:dyDescent="0.2">
      <c r="A110" s="64" t="s">
        <v>1550</v>
      </c>
      <c r="B110" s="65">
        <f t="shared" si="50"/>
        <v>105</v>
      </c>
      <c r="C110" s="65" t="s">
        <v>1551</v>
      </c>
      <c r="D110" s="65" t="s">
        <v>51</v>
      </c>
      <c r="E110" s="66" t="s">
        <v>658</v>
      </c>
      <c r="F110" s="67">
        <v>43062</v>
      </c>
      <c r="G110" s="65">
        <v>18</v>
      </c>
      <c r="H110" s="68">
        <f t="shared" si="35"/>
        <v>2903.2258064516127</v>
      </c>
      <c r="I110" s="68">
        <f t="shared" si="45"/>
        <v>0</v>
      </c>
      <c r="J110" s="68">
        <f t="shared" si="36"/>
        <v>145.16129032258064</v>
      </c>
      <c r="K110" s="68"/>
      <c r="L110" s="68">
        <f t="shared" si="46"/>
        <v>464.51612903225805</v>
      </c>
      <c r="M110" s="68"/>
      <c r="N110" s="68">
        <f t="shared" si="54"/>
        <v>2874.1935483870971</v>
      </c>
      <c r="O110" s="68">
        <v>0</v>
      </c>
      <c r="P110" s="68">
        <v>0</v>
      </c>
      <c r="Q110" s="68">
        <v>0</v>
      </c>
      <c r="R110" s="68">
        <f t="shared" si="32"/>
        <v>6387.0967741935483</v>
      </c>
      <c r="S110" s="69">
        <f t="shared" si="37"/>
        <v>348.38709677419354</v>
      </c>
      <c r="T110" s="69">
        <f t="shared" si="38"/>
        <v>112</v>
      </c>
      <c r="U110" s="68">
        <f t="shared" si="48"/>
        <v>0</v>
      </c>
      <c r="V110" s="68">
        <v>0</v>
      </c>
      <c r="W110" s="68">
        <f t="shared" si="55"/>
        <v>460.38709677419354</v>
      </c>
      <c r="X110" s="68">
        <f t="shared" si="40"/>
        <v>5926.7096774193551</v>
      </c>
      <c r="Y110" s="68">
        <v>0</v>
      </c>
      <c r="Z110" s="68">
        <f t="shared" si="49"/>
        <v>5926.7096774193551</v>
      </c>
      <c r="AA110" s="69">
        <f t="shared" si="41"/>
        <v>381.77419354838707</v>
      </c>
      <c r="AB110" s="69">
        <f t="shared" si="42"/>
        <v>304</v>
      </c>
      <c r="AC110" s="70">
        <f t="shared" si="43"/>
        <v>0</v>
      </c>
      <c r="AD110" s="71">
        <f t="shared" si="33"/>
        <v>685.77419354838707</v>
      </c>
      <c r="AE110" s="71">
        <f t="shared" si="44"/>
        <v>7072.8709677419356</v>
      </c>
    </row>
    <row r="111" spans="1:31" x14ac:dyDescent="0.2">
      <c r="A111" s="64" t="s">
        <v>1552</v>
      </c>
      <c r="B111" s="65">
        <f t="shared" si="50"/>
        <v>106</v>
      </c>
      <c r="C111" s="65" t="s">
        <v>1553</v>
      </c>
      <c r="D111" s="65" t="s">
        <v>51</v>
      </c>
      <c r="E111" s="66" t="s">
        <v>658</v>
      </c>
      <c r="F111" s="67">
        <v>43063</v>
      </c>
      <c r="G111" s="65">
        <v>37</v>
      </c>
      <c r="H111" s="68">
        <f t="shared" si="35"/>
        <v>5967.7419354838703</v>
      </c>
      <c r="I111" s="68">
        <f t="shared" si="45"/>
        <v>0</v>
      </c>
      <c r="J111" s="68">
        <f t="shared" si="36"/>
        <v>298.38709677419354</v>
      </c>
      <c r="K111" s="68"/>
      <c r="L111" s="68">
        <f t="shared" si="46"/>
        <v>954.83870967741927</v>
      </c>
      <c r="M111" s="68"/>
      <c r="N111" s="68">
        <f t="shared" si="54"/>
        <v>5908.0645161290322</v>
      </c>
      <c r="O111" s="68">
        <v>0</v>
      </c>
      <c r="P111" s="68">
        <v>0</v>
      </c>
      <c r="Q111" s="68">
        <v>1484</v>
      </c>
      <c r="R111" s="68">
        <f t="shared" si="32"/>
        <v>14613.032258064515</v>
      </c>
      <c r="S111" s="69">
        <f t="shared" si="37"/>
        <v>716.1290322580644</v>
      </c>
      <c r="T111" s="69">
        <f t="shared" si="38"/>
        <v>256</v>
      </c>
      <c r="U111" s="68">
        <f t="shared" si="48"/>
        <v>200</v>
      </c>
      <c r="V111" s="68">
        <v>0</v>
      </c>
      <c r="W111" s="68">
        <f t="shared" si="55"/>
        <v>1172.1290322580644</v>
      </c>
      <c r="X111" s="68">
        <f t="shared" si="40"/>
        <v>13440.903225806451</v>
      </c>
      <c r="Y111" s="68">
        <v>0</v>
      </c>
      <c r="Z111" s="68">
        <f t="shared" si="49"/>
        <v>13440.903225806451</v>
      </c>
      <c r="AA111" s="69">
        <f t="shared" si="41"/>
        <v>784.75806451612902</v>
      </c>
      <c r="AB111" s="69">
        <f t="shared" si="42"/>
        <v>695</v>
      </c>
      <c r="AC111" s="70">
        <f t="shared" si="43"/>
        <v>0</v>
      </c>
      <c r="AD111" s="71">
        <f t="shared" si="33"/>
        <v>1479.758064516129</v>
      </c>
      <c r="AE111" s="71">
        <f t="shared" si="44"/>
        <v>16092.790322580644</v>
      </c>
    </row>
    <row r="112" spans="1:31" x14ac:dyDescent="0.2">
      <c r="A112" s="64" t="s">
        <v>1554</v>
      </c>
      <c r="B112" s="65">
        <f t="shared" si="50"/>
        <v>107</v>
      </c>
      <c r="C112" s="65" t="s">
        <v>1555</v>
      </c>
      <c r="D112" s="65" t="s">
        <v>51</v>
      </c>
      <c r="E112" s="66" t="s">
        <v>658</v>
      </c>
      <c r="F112" s="67">
        <v>43064</v>
      </c>
      <c r="G112" s="65">
        <v>9</v>
      </c>
      <c r="H112" s="68">
        <f t="shared" si="35"/>
        <v>1451.6129032258063</v>
      </c>
      <c r="I112" s="68">
        <f t="shared" si="45"/>
        <v>0</v>
      </c>
      <c r="J112" s="68">
        <f t="shared" si="36"/>
        <v>72.58064516129032</v>
      </c>
      <c r="K112" s="68"/>
      <c r="L112" s="68">
        <f t="shared" si="46"/>
        <v>232.25806451612902</v>
      </c>
      <c r="M112" s="68"/>
      <c r="N112" s="68">
        <f t="shared" si="54"/>
        <v>1437.0967741935485</v>
      </c>
      <c r="O112" s="68">
        <v>0</v>
      </c>
      <c r="P112" s="68">
        <v>0</v>
      </c>
      <c r="Q112" s="68">
        <v>0</v>
      </c>
      <c r="R112" s="68">
        <f t="shared" si="32"/>
        <v>3193.5483870967741</v>
      </c>
      <c r="S112" s="69">
        <f t="shared" si="37"/>
        <v>174.19354838709677</v>
      </c>
      <c r="T112" s="69">
        <f t="shared" si="38"/>
        <v>56</v>
      </c>
      <c r="U112" s="68">
        <f t="shared" si="48"/>
        <v>0</v>
      </c>
      <c r="V112" s="68">
        <v>0</v>
      </c>
      <c r="W112" s="68">
        <f t="shared" si="55"/>
        <v>230.19354838709677</v>
      </c>
      <c r="X112" s="68">
        <f t="shared" si="40"/>
        <v>2963.3548387096776</v>
      </c>
      <c r="Y112" s="68">
        <v>0</v>
      </c>
      <c r="Z112" s="68">
        <f t="shared" si="49"/>
        <v>2963.3548387096776</v>
      </c>
      <c r="AA112" s="69">
        <f t="shared" si="41"/>
        <v>190.88709677419354</v>
      </c>
      <c r="AB112" s="69">
        <f t="shared" si="42"/>
        <v>152</v>
      </c>
      <c r="AC112" s="70">
        <f t="shared" si="43"/>
        <v>0</v>
      </c>
      <c r="AD112" s="71">
        <f t="shared" si="33"/>
        <v>342.88709677419354</v>
      </c>
      <c r="AE112" s="71">
        <f t="shared" si="44"/>
        <v>3536.4354838709678</v>
      </c>
    </row>
    <row r="113" spans="1:31" x14ac:dyDescent="0.2">
      <c r="A113" s="64" t="s">
        <v>1579</v>
      </c>
      <c r="B113" s="65">
        <f t="shared" si="50"/>
        <v>108</v>
      </c>
      <c r="C113" s="65" t="s">
        <v>1556</v>
      </c>
      <c r="D113" s="65" t="s">
        <v>51</v>
      </c>
      <c r="E113" s="66" t="s">
        <v>232</v>
      </c>
      <c r="F113" s="67">
        <v>43057</v>
      </c>
      <c r="G113" s="65">
        <v>19</v>
      </c>
      <c r="H113" s="68">
        <f t="shared" si="35"/>
        <v>3064.516129032258</v>
      </c>
      <c r="I113" s="68">
        <f t="shared" si="45"/>
        <v>0</v>
      </c>
      <c r="J113" s="68">
        <f t="shared" si="36"/>
        <v>153.2258064516129</v>
      </c>
      <c r="K113" s="68"/>
      <c r="L113" s="68">
        <f t="shared" si="46"/>
        <v>490.32258064516128</v>
      </c>
      <c r="M113" s="68"/>
      <c r="N113" s="68">
        <f>((1950+2000+996)/G$3)*G113</f>
        <v>3031.4193548387098</v>
      </c>
      <c r="O113" s="68">
        <v>0</v>
      </c>
      <c r="P113" s="68">
        <v>0</v>
      </c>
      <c r="Q113" s="68">
        <v>0</v>
      </c>
      <c r="R113" s="68">
        <f t="shared" si="32"/>
        <v>6739.4838709677424</v>
      </c>
      <c r="S113" s="69">
        <f t="shared" si="37"/>
        <v>367.74193548387098</v>
      </c>
      <c r="T113" s="69">
        <f t="shared" si="38"/>
        <v>118</v>
      </c>
      <c r="U113" s="68">
        <f t="shared" si="48"/>
        <v>0</v>
      </c>
      <c r="V113" s="68">
        <v>0</v>
      </c>
      <c r="W113" s="68">
        <f t="shared" si="55"/>
        <v>485.74193548387098</v>
      </c>
      <c r="X113" s="68">
        <f t="shared" si="40"/>
        <v>6253.7419354838712</v>
      </c>
      <c r="Y113" s="68">
        <v>0</v>
      </c>
      <c r="Z113" s="68">
        <f t="shared" si="49"/>
        <v>6253.7419354838712</v>
      </c>
      <c r="AA113" s="69">
        <f t="shared" si="41"/>
        <v>402.98387096774195</v>
      </c>
      <c r="AB113" s="69">
        <f t="shared" si="42"/>
        <v>321</v>
      </c>
      <c r="AC113" s="70">
        <f t="shared" si="43"/>
        <v>0</v>
      </c>
      <c r="AD113" s="71">
        <f t="shared" si="33"/>
        <v>723.98387096774195</v>
      </c>
      <c r="AE113" s="71">
        <f t="shared" si="44"/>
        <v>7463.4677419354848</v>
      </c>
    </row>
    <row r="114" spans="1:31" x14ac:dyDescent="0.2">
      <c r="A114" s="64" t="s">
        <v>1569</v>
      </c>
      <c r="B114" s="65">
        <f t="shared" si="50"/>
        <v>109</v>
      </c>
      <c r="C114" s="65" t="s">
        <v>1557</v>
      </c>
      <c r="D114" s="65" t="s">
        <v>51</v>
      </c>
      <c r="E114" s="66" t="s">
        <v>237</v>
      </c>
      <c r="F114" s="67">
        <v>43070</v>
      </c>
      <c r="G114" s="65">
        <v>34</v>
      </c>
      <c r="H114" s="68">
        <f t="shared" si="35"/>
        <v>5483.8709677419356</v>
      </c>
      <c r="I114" s="68">
        <f t="shared" si="45"/>
        <v>0</v>
      </c>
      <c r="J114" s="68">
        <f t="shared" si="36"/>
        <v>274.19354838709677</v>
      </c>
      <c r="K114" s="68"/>
      <c r="L114" s="68">
        <f t="shared" si="46"/>
        <v>877.41935483870964</v>
      </c>
      <c r="M114" s="68"/>
      <c r="N114" s="68">
        <f t="shared" ref="N114:N123" si="56">((1950+2000+996)/G$3)*G114</f>
        <v>5424.6451612903229</v>
      </c>
      <c r="O114" s="68">
        <v>0</v>
      </c>
      <c r="P114" s="68">
        <v>0</v>
      </c>
      <c r="Q114" s="68">
        <v>0</v>
      </c>
      <c r="R114" s="68">
        <f t="shared" si="32"/>
        <v>12060.129032258064</v>
      </c>
      <c r="S114" s="69">
        <f t="shared" si="37"/>
        <v>658.0645161290322</v>
      </c>
      <c r="T114" s="69">
        <f t="shared" si="38"/>
        <v>212</v>
      </c>
      <c r="U114" s="68">
        <f t="shared" si="48"/>
        <v>200</v>
      </c>
      <c r="V114" s="68">
        <v>0</v>
      </c>
      <c r="W114" s="68">
        <f t="shared" si="55"/>
        <v>1070.0645161290322</v>
      </c>
      <c r="X114" s="68">
        <f t="shared" si="40"/>
        <v>10990.064516129032</v>
      </c>
      <c r="Y114" s="68">
        <v>0</v>
      </c>
      <c r="Z114" s="68">
        <f t="shared" si="49"/>
        <v>10990.064516129032</v>
      </c>
      <c r="AA114" s="69">
        <f t="shared" si="41"/>
        <v>721.12903225806451</v>
      </c>
      <c r="AB114" s="69">
        <f t="shared" si="42"/>
        <v>573</v>
      </c>
      <c r="AC114" s="70">
        <f t="shared" si="43"/>
        <v>0</v>
      </c>
      <c r="AD114" s="71">
        <f t="shared" si="33"/>
        <v>1294.1290322580644</v>
      </c>
      <c r="AE114" s="71">
        <f t="shared" si="44"/>
        <v>13354.258064516129</v>
      </c>
    </row>
    <row r="115" spans="1:31" x14ac:dyDescent="0.2">
      <c r="A115" s="64" t="s">
        <v>1570</v>
      </c>
      <c r="B115" s="65">
        <f t="shared" si="50"/>
        <v>110</v>
      </c>
      <c r="C115" s="65" t="s">
        <v>1558</v>
      </c>
      <c r="D115" s="65" t="s">
        <v>51</v>
      </c>
      <c r="E115" s="66" t="s">
        <v>658</v>
      </c>
      <c r="F115" s="67">
        <v>43070</v>
      </c>
      <c r="G115" s="65">
        <v>34</v>
      </c>
      <c r="H115" s="68">
        <f t="shared" si="35"/>
        <v>5483.8709677419356</v>
      </c>
      <c r="I115" s="68">
        <f t="shared" si="45"/>
        <v>0</v>
      </c>
      <c r="J115" s="68">
        <f t="shared" si="36"/>
        <v>274.19354838709677</v>
      </c>
      <c r="K115" s="68"/>
      <c r="L115" s="68">
        <f t="shared" si="46"/>
        <v>877.41935483870964</v>
      </c>
      <c r="M115" s="68"/>
      <c r="N115" s="68">
        <f t="shared" si="56"/>
        <v>5424.6451612903229</v>
      </c>
      <c r="O115" s="68">
        <v>0</v>
      </c>
      <c r="P115" s="68">
        <v>0</v>
      </c>
      <c r="Q115" s="68">
        <v>468</v>
      </c>
      <c r="R115" s="68">
        <f t="shared" ref="R115:R125" si="57">SUM(H115:Q115)</f>
        <v>12528.129032258064</v>
      </c>
      <c r="S115" s="69">
        <f t="shared" si="37"/>
        <v>658.0645161290322</v>
      </c>
      <c r="T115" s="69">
        <f t="shared" si="38"/>
        <v>220</v>
      </c>
      <c r="U115" s="68">
        <f t="shared" si="48"/>
        <v>200</v>
      </c>
      <c r="V115" s="68">
        <v>0</v>
      </c>
      <c r="W115" s="68">
        <f t="shared" si="55"/>
        <v>1078.0645161290322</v>
      </c>
      <c r="X115" s="68">
        <f t="shared" si="40"/>
        <v>11450.064516129032</v>
      </c>
      <c r="Y115" s="68">
        <v>0</v>
      </c>
      <c r="Z115" s="68">
        <f t="shared" si="49"/>
        <v>11450.064516129032</v>
      </c>
      <c r="AA115" s="69">
        <f t="shared" si="41"/>
        <v>721.12903225806451</v>
      </c>
      <c r="AB115" s="69">
        <f t="shared" si="42"/>
        <v>596</v>
      </c>
      <c r="AC115" s="70">
        <f t="shared" si="43"/>
        <v>0</v>
      </c>
      <c r="AD115" s="71">
        <f t="shared" si="33"/>
        <v>1317.1290322580644</v>
      </c>
      <c r="AE115" s="71">
        <f t="shared" si="44"/>
        <v>13845.258064516129</v>
      </c>
    </row>
    <row r="116" spans="1:31" x14ac:dyDescent="0.2">
      <c r="A116" s="64" t="s">
        <v>1571</v>
      </c>
      <c r="B116" s="65">
        <f t="shared" si="50"/>
        <v>111</v>
      </c>
      <c r="C116" s="65" t="s">
        <v>1559</v>
      </c>
      <c r="D116" s="65" t="s">
        <v>51</v>
      </c>
      <c r="E116" s="66" t="s">
        <v>658</v>
      </c>
      <c r="F116" s="67">
        <v>43070</v>
      </c>
      <c r="G116" s="65">
        <v>35</v>
      </c>
      <c r="H116" s="68">
        <f t="shared" si="35"/>
        <v>5645.1612903225805</v>
      </c>
      <c r="I116" s="68">
        <f t="shared" si="45"/>
        <v>0</v>
      </c>
      <c r="J116" s="68">
        <f t="shared" si="36"/>
        <v>282.25806451612902</v>
      </c>
      <c r="K116" s="68"/>
      <c r="L116" s="68">
        <f t="shared" si="46"/>
        <v>903.22580645161281</v>
      </c>
      <c r="M116" s="68"/>
      <c r="N116" s="68">
        <f t="shared" si="56"/>
        <v>5584.1935483870975</v>
      </c>
      <c r="O116" s="68">
        <v>0</v>
      </c>
      <c r="P116" s="68">
        <v>0</v>
      </c>
      <c r="Q116" s="68">
        <v>468</v>
      </c>
      <c r="R116" s="68">
        <f t="shared" si="57"/>
        <v>12882.83870967742</v>
      </c>
      <c r="S116" s="69">
        <f t="shared" si="37"/>
        <v>677.41935483870964</v>
      </c>
      <c r="T116" s="69">
        <f t="shared" si="38"/>
        <v>226</v>
      </c>
      <c r="U116" s="68">
        <f t="shared" si="48"/>
        <v>200</v>
      </c>
      <c r="V116" s="68">
        <v>0</v>
      </c>
      <c r="W116" s="68">
        <f t="shared" si="55"/>
        <v>1103.4193548387098</v>
      </c>
      <c r="X116" s="68">
        <f t="shared" si="40"/>
        <v>11779.41935483871</v>
      </c>
      <c r="Y116" s="68">
        <v>0</v>
      </c>
      <c r="Z116" s="68">
        <f t="shared" si="49"/>
        <v>11779.41935483871</v>
      </c>
      <c r="AA116" s="69">
        <f t="shared" si="41"/>
        <v>742.33870967741939</v>
      </c>
      <c r="AB116" s="69">
        <f t="shared" si="42"/>
        <v>612</v>
      </c>
      <c r="AC116" s="70">
        <f t="shared" si="43"/>
        <v>0</v>
      </c>
      <c r="AD116" s="71">
        <f t="shared" si="33"/>
        <v>1354.3387096774195</v>
      </c>
      <c r="AE116" s="71">
        <f t="shared" si="44"/>
        <v>14237.177419354841</v>
      </c>
    </row>
    <row r="117" spans="1:31" x14ac:dyDescent="0.2">
      <c r="A117" s="64" t="s">
        <v>1572</v>
      </c>
      <c r="B117" s="65">
        <f t="shared" si="50"/>
        <v>112</v>
      </c>
      <c r="C117" s="65" t="s">
        <v>1560</v>
      </c>
      <c r="D117" s="65" t="s">
        <v>51</v>
      </c>
      <c r="E117" s="66" t="s">
        <v>1561</v>
      </c>
      <c r="F117" s="67">
        <v>43072</v>
      </c>
      <c r="G117" s="65">
        <v>33</v>
      </c>
      <c r="H117" s="68">
        <f t="shared" si="35"/>
        <v>5322.5806451612898</v>
      </c>
      <c r="I117" s="68">
        <f t="shared" si="45"/>
        <v>0</v>
      </c>
      <c r="J117" s="68">
        <f t="shared" si="36"/>
        <v>266.12903225806451</v>
      </c>
      <c r="K117" s="68"/>
      <c r="L117" s="68">
        <f t="shared" si="46"/>
        <v>851.61290322580635</v>
      </c>
      <c r="M117" s="68"/>
      <c r="N117" s="68">
        <f>((1950+2000+0)/G$3)*G117</f>
        <v>4204.8387096774195</v>
      </c>
      <c r="O117" s="68">
        <v>0</v>
      </c>
      <c r="P117" s="68">
        <v>0</v>
      </c>
      <c r="Q117" s="68">
        <v>0</v>
      </c>
      <c r="R117" s="68">
        <f t="shared" si="57"/>
        <v>10645.16129032258</v>
      </c>
      <c r="S117" s="69">
        <f t="shared" si="37"/>
        <v>638.70967741935476</v>
      </c>
      <c r="T117" s="69">
        <f t="shared" si="38"/>
        <v>187</v>
      </c>
      <c r="U117" s="68">
        <f t="shared" si="48"/>
        <v>200</v>
      </c>
      <c r="V117" s="68">
        <v>0</v>
      </c>
      <c r="W117" s="68">
        <f t="shared" si="55"/>
        <v>1025.7096774193546</v>
      </c>
      <c r="X117" s="68">
        <f t="shared" si="40"/>
        <v>9619.4516129032254</v>
      </c>
      <c r="Y117" s="68">
        <v>0</v>
      </c>
      <c r="Z117" s="68">
        <f t="shared" si="49"/>
        <v>9619.4516129032254</v>
      </c>
      <c r="AA117" s="69">
        <f t="shared" si="41"/>
        <v>699.91935483870964</v>
      </c>
      <c r="AB117" s="69">
        <f t="shared" si="42"/>
        <v>506</v>
      </c>
      <c r="AC117" s="70">
        <f t="shared" si="43"/>
        <v>0</v>
      </c>
      <c r="AD117" s="71">
        <f t="shared" si="33"/>
        <v>1205.9193548387098</v>
      </c>
      <c r="AE117" s="71">
        <f t="shared" si="44"/>
        <v>11851.08064516129</v>
      </c>
    </row>
    <row r="118" spans="1:31" x14ac:dyDescent="0.2">
      <c r="A118" s="64" t="s">
        <v>1573</v>
      </c>
      <c r="B118" s="65">
        <f t="shared" si="50"/>
        <v>113</v>
      </c>
      <c r="C118" s="65" t="s">
        <v>1562</v>
      </c>
      <c r="D118" s="65" t="s">
        <v>51</v>
      </c>
      <c r="E118" s="66" t="s">
        <v>237</v>
      </c>
      <c r="F118" s="67">
        <v>43073</v>
      </c>
      <c r="G118" s="65">
        <v>35</v>
      </c>
      <c r="H118" s="68">
        <f t="shared" si="35"/>
        <v>5645.1612903225805</v>
      </c>
      <c r="I118" s="68">
        <f t="shared" si="45"/>
        <v>0</v>
      </c>
      <c r="J118" s="68">
        <f t="shared" si="36"/>
        <v>282.25806451612902</v>
      </c>
      <c r="K118" s="68"/>
      <c r="L118" s="68">
        <f t="shared" si="46"/>
        <v>903.22580645161281</v>
      </c>
      <c r="M118" s="68"/>
      <c r="N118" s="68">
        <f t="shared" si="56"/>
        <v>5584.1935483870975</v>
      </c>
      <c r="O118" s="68">
        <v>0</v>
      </c>
      <c r="P118" s="68">
        <v>0</v>
      </c>
      <c r="Q118" s="68">
        <v>1000</v>
      </c>
      <c r="R118" s="68">
        <f t="shared" si="57"/>
        <v>13414.83870967742</v>
      </c>
      <c r="S118" s="69">
        <f t="shared" si="37"/>
        <v>677.41935483870964</v>
      </c>
      <c r="T118" s="69">
        <f t="shared" si="38"/>
        <v>235</v>
      </c>
      <c r="U118" s="68">
        <f t="shared" si="48"/>
        <v>200</v>
      </c>
      <c r="V118" s="68">
        <v>0</v>
      </c>
      <c r="W118" s="68">
        <f t="shared" si="55"/>
        <v>1112.4193548387098</v>
      </c>
      <c r="X118" s="68">
        <f t="shared" si="40"/>
        <v>12302.41935483871</v>
      </c>
      <c r="Y118" s="68">
        <v>0</v>
      </c>
      <c r="Z118" s="68">
        <f t="shared" si="49"/>
        <v>12302.41935483871</v>
      </c>
      <c r="AA118" s="69">
        <f t="shared" si="41"/>
        <v>742.33870967741939</v>
      </c>
      <c r="AB118" s="69">
        <f t="shared" si="42"/>
        <v>638</v>
      </c>
      <c r="AC118" s="70">
        <f t="shared" si="43"/>
        <v>0</v>
      </c>
      <c r="AD118" s="71">
        <f t="shared" si="33"/>
        <v>1380.3387096774195</v>
      </c>
      <c r="AE118" s="71">
        <f t="shared" si="44"/>
        <v>14795.177419354841</v>
      </c>
    </row>
    <row r="119" spans="1:31" x14ac:dyDescent="0.2">
      <c r="A119" s="64" t="s">
        <v>1574</v>
      </c>
      <c r="B119" s="65">
        <f t="shared" si="50"/>
        <v>114</v>
      </c>
      <c r="C119" s="65" t="s">
        <v>1563</v>
      </c>
      <c r="D119" s="65" t="s">
        <v>51</v>
      </c>
      <c r="E119" s="66" t="s">
        <v>658</v>
      </c>
      <c r="F119" s="67">
        <v>43085</v>
      </c>
      <c r="G119" s="65">
        <v>33</v>
      </c>
      <c r="H119" s="68">
        <f t="shared" si="35"/>
        <v>5322.5806451612898</v>
      </c>
      <c r="I119" s="68">
        <f t="shared" si="45"/>
        <v>0</v>
      </c>
      <c r="J119" s="68">
        <f t="shared" si="36"/>
        <v>266.12903225806451</v>
      </c>
      <c r="K119" s="68"/>
      <c r="L119" s="68">
        <f t="shared" si="46"/>
        <v>851.61290322580635</v>
      </c>
      <c r="M119" s="68"/>
      <c r="N119" s="68">
        <f t="shared" si="56"/>
        <v>5265.0967741935492</v>
      </c>
      <c r="O119" s="68">
        <v>0</v>
      </c>
      <c r="P119" s="68">
        <v>0</v>
      </c>
      <c r="Q119" s="68">
        <v>1000</v>
      </c>
      <c r="R119" s="68">
        <f t="shared" si="57"/>
        <v>12705.41935483871</v>
      </c>
      <c r="S119" s="69">
        <f t="shared" si="37"/>
        <v>638.70967741935476</v>
      </c>
      <c r="T119" s="69">
        <f t="shared" si="38"/>
        <v>223</v>
      </c>
      <c r="U119" s="68">
        <f t="shared" si="48"/>
        <v>200</v>
      </c>
      <c r="V119" s="68">
        <v>0</v>
      </c>
      <c r="W119" s="68">
        <f t="shared" si="55"/>
        <v>1061.7096774193546</v>
      </c>
      <c r="X119" s="68">
        <f t="shared" si="40"/>
        <v>11643.709677419356</v>
      </c>
      <c r="Y119" s="68">
        <v>0</v>
      </c>
      <c r="Z119" s="68">
        <f t="shared" si="49"/>
        <v>11643.709677419356</v>
      </c>
      <c r="AA119" s="69">
        <f t="shared" si="41"/>
        <v>699.91935483870964</v>
      </c>
      <c r="AB119" s="69">
        <f t="shared" si="42"/>
        <v>604</v>
      </c>
      <c r="AC119" s="70">
        <f t="shared" si="43"/>
        <v>0</v>
      </c>
      <c r="AD119" s="71">
        <f t="shared" si="33"/>
        <v>1303.9193548387098</v>
      </c>
      <c r="AE119" s="71">
        <f t="shared" si="44"/>
        <v>14009.33870967742</v>
      </c>
    </row>
    <row r="120" spans="1:31" x14ac:dyDescent="0.2">
      <c r="A120" s="64" t="s">
        <v>1575</v>
      </c>
      <c r="B120" s="65">
        <f t="shared" si="50"/>
        <v>115</v>
      </c>
      <c r="C120" s="65" t="s">
        <v>1564</v>
      </c>
      <c r="D120" s="65" t="s">
        <v>51</v>
      </c>
      <c r="E120" s="66" t="s">
        <v>238</v>
      </c>
      <c r="F120" s="67">
        <v>43088</v>
      </c>
      <c r="G120" s="65">
        <v>23</v>
      </c>
      <c r="H120" s="68">
        <f t="shared" si="35"/>
        <v>3709.6774193548385</v>
      </c>
      <c r="I120" s="68">
        <f t="shared" si="45"/>
        <v>0</v>
      </c>
      <c r="J120" s="68">
        <f t="shared" si="36"/>
        <v>185.48387096774195</v>
      </c>
      <c r="K120" s="68"/>
      <c r="L120" s="68">
        <f t="shared" si="46"/>
        <v>593.54838709677415</v>
      </c>
      <c r="M120" s="68"/>
      <c r="N120" s="68">
        <f t="shared" si="56"/>
        <v>3669.6129032258068</v>
      </c>
      <c r="O120" s="68">
        <v>0</v>
      </c>
      <c r="P120" s="68">
        <v>0</v>
      </c>
      <c r="Q120" s="68">
        <v>0</v>
      </c>
      <c r="R120" s="68">
        <f t="shared" si="57"/>
        <v>8158.322580645161</v>
      </c>
      <c r="S120" s="69">
        <f t="shared" si="37"/>
        <v>445.16129032258061</v>
      </c>
      <c r="T120" s="69">
        <f t="shared" si="38"/>
        <v>143</v>
      </c>
      <c r="U120" s="68">
        <v>0</v>
      </c>
      <c r="V120" s="68">
        <v>0</v>
      </c>
      <c r="W120" s="68">
        <f t="shared" si="55"/>
        <v>588.16129032258061</v>
      </c>
      <c r="X120" s="68">
        <f t="shared" si="40"/>
        <v>7570.1612903225805</v>
      </c>
      <c r="Y120" s="68">
        <v>0</v>
      </c>
      <c r="Z120" s="68">
        <f t="shared" si="49"/>
        <v>7570.1612903225805</v>
      </c>
      <c r="AA120" s="69">
        <f t="shared" si="41"/>
        <v>487.82258064516128</v>
      </c>
      <c r="AB120" s="69">
        <f t="shared" si="42"/>
        <v>388</v>
      </c>
      <c r="AC120" s="70">
        <f t="shared" si="43"/>
        <v>0</v>
      </c>
      <c r="AD120" s="71">
        <f t="shared" si="33"/>
        <v>875.82258064516122</v>
      </c>
      <c r="AE120" s="71">
        <f t="shared" si="44"/>
        <v>9034.145161290322</v>
      </c>
    </row>
    <row r="121" spans="1:31" x14ac:dyDescent="0.2">
      <c r="A121" s="64" t="s">
        <v>1653</v>
      </c>
      <c r="B121" s="65">
        <f t="shared" si="50"/>
        <v>116</v>
      </c>
      <c r="C121" s="65" t="s">
        <v>1668</v>
      </c>
      <c r="D121" s="65" t="s">
        <v>51</v>
      </c>
      <c r="E121" s="66" t="s">
        <v>237</v>
      </c>
      <c r="F121" s="67">
        <v>43089</v>
      </c>
      <c r="G121" s="65">
        <v>28</v>
      </c>
      <c r="H121" s="68">
        <f t="shared" si="35"/>
        <v>4516.1290322580644</v>
      </c>
      <c r="I121" s="68">
        <f t="shared" si="45"/>
        <v>0</v>
      </c>
      <c r="J121" s="68">
        <f t="shared" si="36"/>
        <v>225.80645161290323</v>
      </c>
      <c r="K121" s="68"/>
      <c r="L121" s="68">
        <f t="shared" si="46"/>
        <v>722.58064516129025</v>
      </c>
      <c r="M121" s="68"/>
      <c r="N121" s="68">
        <f t="shared" si="56"/>
        <v>4467.354838709678</v>
      </c>
      <c r="O121" s="68">
        <v>0</v>
      </c>
      <c r="P121" s="68">
        <v>0</v>
      </c>
      <c r="Q121" s="68">
        <v>0</v>
      </c>
      <c r="R121" s="68">
        <f t="shared" si="57"/>
        <v>9931.8709677419356</v>
      </c>
      <c r="S121" s="69">
        <f t="shared" si="37"/>
        <v>541.93548387096769</v>
      </c>
      <c r="T121" s="69">
        <f t="shared" si="38"/>
        <v>174</v>
      </c>
      <c r="U121" s="68">
        <f t="shared" si="48"/>
        <v>175</v>
      </c>
      <c r="V121" s="68">
        <v>0</v>
      </c>
      <c r="W121" s="68">
        <f t="shared" si="55"/>
        <v>890.93548387096769</v>
      </c>
      <c r="X121" s="68">
        <f t="shared" si="40"/>
        <v>9040.9354838709678</v>
      </c>
      <c r="Y121" s="68">
        <v>0</v>
      </c>
      <c r="Z121" s="68">
        <f t="shared" si="49"/>
        <v>9040.9354838709678</v>
      </c>
      <c r="AA121" s="69">
        <f t="shared" si="41"/>
        <v>593.87096774193549</v>
      </c>
      <c r="AB121" s="69">
        <f t="shared" si="42"/>
        <v>472</v>
      </c>
      <c r="AC121" s="70">
        <f t="shared" si="43"/>
        <v>0</v>
      </c>
      <c r="AD121" s="71">
        <f t="shared" si="33"/>
        <v>1065.8709677419356</v>
      </c>
      <c r="AE121" s="71">
        <f t="shared" si="44"/>
        <v>10997.741935483871</v>
      </c>
    </row>
    <row r="122" spans="1:31" x14ac:dyDescent="0.2">
      <c r="A122" s="64" t="s">
        <v>1576</v>
      </c>
      <c r="B122" s="65">
        <f t="shared" si="50"/>
        <v>117</v>
      </c>
      <c r="C122" s="65" t="s">
        <v>1565</v>
      </c>
      <c r="D122" s="65" t="s">
        <v>51</v>
      </c>
      <c r="E122" s="66" t="s">
        <v>236</v>
      </c>
      <c r="F122" s="67">
        <v>43089</v>
      </c>
      <c r="G122" s="65">
        <v>28</v>
      </c>
      <c r="H122" s="68">
        <f t="shared" si="35"/>
        <v>4516.1290322580644</v>
      </c>
      <c r="I122" s="68">
        <f t="shared" si="45"/>
        <v>0</v>
      </c>
      <c r="J122" s="68">
        <f t="shared" si="36"/>
        <v>225.80645161290323</v>
      </c>
      <c r="K122" s="68"/>
      <c r="L122" s="68">
        <f t="shared" si="46"/>
        <v>722.58064516129025</v>
      </c>
      <c r="M122" s="68"/>
      <c r="N122" s="68">
        <f>((1950+2000+0)/G$3)*G122</f>
        <v>3567.7419354838712</v>
      </c>
      <c r="O122" s="68">
        <v>0</v>
      </c>
      <c r="P122" s="68">
        <v>0</v>
      </c>
      <c r="Q122" s="68">
        <v>371</v>
      </c>
      <c r="R122" s="68">
        <f t="shared" si="57"/>
        <v>9403.2580645161288</v>
      </c>
      <c r="S122" s="69">
        <f t="shared" si="37"/>
        <v>541.93548387096769</v>
      </c>
      <c r="T122" s="69">
        <f t="shared" si="38"/>
        <v>165</v>
      </c>
      <c r="U122" s="68">
        <f t="shared" si="48"/>
        <v>175</v>
      </c>
      <c r="V122" s="68">
        <v>0</v>
      </c>
      <c r="W122" s="68">
        <f t="shared" si="55"/>
        <v>881.93548387096769</v>
      </c>
      <c r="X122" s="68">
        <f t="shared" si="40"/>
        <v>8521.322580645161</v>
      </c>
      <c r="Y122" s="68">
        <v>0</v>
      </c>
      <c r="Z122" s="68">
        <f t="shared" si="49"/>
        <v>8521.322580645161</v>
      </c>
      <c r="AA122" s="69">
        <f t="shared" si="41"/>
        <v>593.87096774193549</v>
      </c>
      <c r="AB122" s="69">
        <f t="shared" si="42"/>
        <v>447</v>
      </c>
      <c r="AC122" s="70">
        <f t="shared" si="43"/>
        <v>0</v>
      </c>
      <c r="AD122" s="71">
        <f t="shared" si="33"/>
        <v>1040.8709677419356</v>
      </c>
      <c r="AE122" s="71">
        <f t="shared" si="44"/>
        <v>10444.129032258064</v>
      </c>
    </row>
    <row r="123" spans="1:31" x14ac:dyDescent="0.2">
      <c r="A123" s="64" t="s">
        <v>1568</v>
      </c>
      <c r="B123" s="65">
        <f t="shared" si="50"/>
        <v>118</v>
      </c>
      <c r="C123" s="65" t="s">
        <v>1217</v>
      </c>
      <c r="D123" s="65" t="s">
        <v>51</v>
      </c>
      <c r="E123" s="66" t="s">
        <v>658</v>
      </c>
      <c r="F123" s="67">
        <v>43013</v>
      </c>
      <c r="G123" s="65">
        <v>35</v>
      </c>
      <c r="H123" s="68">
        <f t="shared" si="35"/>
        <v>5645.1612903225805</v>
      </c>
      <c r="I123" s="68">
        <f t="shared" si="45"/>
        <v>0</v>
      </c>
      <c r="J123" s="68">
        <f t="shared" si="36"/>
        <v>282.25806451612902</v>
      </c>
      <c r="K123" s="68"/>
      <c r="L123" s="68">
        <f t="shared" si="46"/>
        <v>903.22580645161281</v>
      </c>
      <c r="M123" s="68"/>
      <c r="N123" s="68">
        <f t="shared" si="56"/>
        <v>5584.1935483870975</v>
      </c>
      <c r="O123" s="68">
        <v>0</v>
      </c>
      <c r="P123" s="68">
        <v>0</v>
      </c>
      <c r="Q123" s="68">
        <v>1000</v>
      </c>
      <c r="R123" s="68">
        <f t="shared" si="57"/>
        <v>13414.83870967742</v>
      </c>
      <c r="S123" s="69">
        <f t="shared" si="37"/>
        <v>677.41935483870964</v>
      </c>
      <c r="T123" s="69">
        <f t="shared" si="38"/>
        <v>235</v>
      </c>
      <c r="U123" s="68">
        <f t="shared" si="48"/>
        <v>200</v>
      </c>
      <c r="V123" s="68">
        <v>0</v>
      </c>
      <c r="W123" s="68">
        <f t="shared" si="55"/>
        <v>1112.4193548387098</v>
      </c>
      <c r="X123" s="68">
        <f t="shared" si="40"/>
        <v>12302.41935483871</v>
      </c>
      <c r="Y123" s="68">
        <v>0</v>
      </c>
      <c r="Z123" s="68">
        <f t="shared" si="49"/>
        <v>12302.41935483871</v>
      </c>
      <c r="AA123" s="69">
        <f t="shared" si="41"/>
        <v>742.33870967741939</v>
      </c>
      <c r="AB123" s="69">
        <f t="shared" si="42"/>
        <v>638</v>
      </c>
      <c r="AC123" s="70">
        <f t="shared" si="43"/>
        <v>0</v>
      </c>
      <c r="AD123" s="71">
        <f t="shared" si="33"/>
        <v>1380.3387096774195</v>
      </c>
      <c r="AE123" s="71">
        <f t="shared" si="44"/>
        <v>14795.177419354841</v>
      </c>
    </row>
    <row r="124" spans="1:31" x14ac:dyDescent="0.2">
      <c r="A124" s="64" t="s">
        <v>1577</v>
      </c>
      <c r="B124" s="65">
        <f t="shared" si="50"/>
        <v>119</v>
      </c>
      <c r="C124" s="65" t="s">
        <v>1566</v>
      </c>
      <c r="D124" s="65" t="s">
        <v>51</v>
      </c>
      <c r="E124" s="66" t="s">
        <v>236</v>
      </c>
      <c r="F124" s="67">
        <v>43096</v>
      </c>
      <c r="G124" s="65">
        <v>33</v>
      </c>
      <c r="H124" s="68">
        <f t="shared" si="35"/>
        <v>5322.5806451612898</v>
      </c>
      <c r="I124" s="68">
        <f t="shared" si="45"/>
        <v>0</v>
      </c>
      <c r="J124" s="68">
        <f t="shared" si="36"/>
        <v>266.12903225806451</v>
      </c>
      <c r="K124" s="68"/>
      <c r="L124" s="68">
        <f t="shared" si="46"/>
        <v>851.61290322580635</v>
      </c>
      <c r="M124" s="68"/>
      <c r="N124" s="68">
        <f>((1950+1000)/G$3)*G124</f>
        <v>3140.322580645161</v>
      </c>
      <c r="O124" s="68">
        <v>0</v>
      </c>
      <c r="P124" s="68">
        <v>0</v>
      </c>
      <c r="Q124" s="68">
        <v>0</v>
      </c>
      <c r="R124" s="68">
        <f t="shared" si="57"/>
        <v>9580.645161290322</v>
      </c>
      <c r="S124" s="69">
        <f t="shared" si="37"/>
        <v>638.70967741935476</v>
      </c>
      <c r="T124" s="69">
        <f t="shared" si="38"/>
        <v>168</v>
      </c>
      <c r="U124" s="68">
        <f t="shared" si="48"/>
        <v>175</v>
      </c>
      <c r="V124" s="68">
        <v>0</v>
      </c>
      <c r="W124" s="68">
        <f t="shared" si="55"/>
        <v>981.70967741935476</v>
      </c>
      <c r="X124" s="68">
        <f t="shared" si="40"/>
        <v>8598.9354838709678</v>
      </c>
      <c r="Y124" s="68">
        <v>0</v>
      </c>
      <c r="Z124" s="68">
        <f t="shared" si="49"/>
        <v>8598.9354838709678</v>
      </c>
      <c r="AA124" s="69">
        <f t="shared" si="41"/>
        <v>699.91935483870964</v>
      </c>
      <c r="AB124" s="69">
        <f t="shared" si="42"/>
        <v>456</v>
      </c>
      <c r="AC124" s="70">
        <f t="shared" si="43"/>
        <v>0</v>
      </c>
      <c r="AD124" s="71">
        <f t="shared" si="33"/>
        <v>1155.9193548387098</v>
      </c>
      <c r="AE124" s="71">
        <f t="shared" si="44"/>
        <v>10736.564516129032</v>
      </c>
    </row>
    <row r="125" spans="1:31" x14ac:dyDescent="0.2">
      <c r="A125" s="64" t="s">
        <v>1578</v>
      </c>
      <c r="B125" s="65">
        <f t="shared" si="50"/>
        <v>120</v>
      </c>
      <c r="C125" s="65" t="s">
        <v>1567</v>
      </c>
      <c r="D125" s="65" t="s">
        <v>51</v>
      </c>
      <c r="E125" s="66" t="s">
        <v>236</v>
      </c>
      <c r="F125" s="67">
        <v>43097</v>
      </c>
      <c r="G125" s="65">
        <v>34</v>
      </c>
      <c r="H125" s="68">
        <f t="shared" si="35"/>
        <v>5483.8709677419356</v>
      </c>
      <c r="I125" s="68">
        <f t="shared" si="45"/>
        <v>0</v>
      </c>
      <c r="J125" s="68">
        <f t="shared" si="36"/>
        <v>274.19354838709677</v>
      </c>
      <c r="K125" s="68"/>
      <c r="L125" s="68">
        <f t="shared" si="46"/>
        <v>877.41935483870964</v>
      </c>
      <c r="M125" s="68"/>
      <c r="N125" s="68">
        <f>((1950+1000)/G$3)*G125</f>
        <v>3235.483870967742</v>
      </c>
      <c r="O125" s="68">
        <v>0</v>
      </c>
      <c r="P125" s="68">
        <v>0</v>
      </c>
      <c r="Q125" s="68">
        <v>0</v>
      </c>
      <c r="R125" s="68">
        <f t="shared" si="57"/>
        <v>9870.967741935483</v>
      </c>
      <c r="S125" s="69">
        <f t="shared" si="37"/>
        <v>658.0645161290322</v>
      </c>
      <c r="T125" s="69">
        <f t="shared" si="38"/>
        <v>173</v>
      </c>
      <c r="U125" s="68">
        <f t="shared" si="48"/>
        <v>175</v>
      </c>
      <c r="V125" s="68">
        <v>0</v>
      </c>
      <c r="W125" s="68">
        <f t="shared" si="55"/>
        <v>1006.0645161290322</v>
      </c>
      <c r="X125" s="68">
        <f t="shared" si="40"/>
        <v>8864.9032258064508</v>
      </c>
      <c r="Y125" s="68">
        <v>0</v>
      </c>
      <c r="Z125" s="68">
        <f t="shared" si="49"/>
        <v>8864.9032258064508</v>
      </c>
      <c r="AA125" s="69">
        <f t="shared" si="41"/>
        <v>721.12903225806451</v>
      </c>
      <c r="AB125" s="69">
        <f t="shared" si="42"/>
        <v>469</v>
      </c>
      <c r="AC125" s="70">
        <f t="shared" si="43"/>
        <v>0</v>
      </c>
      <c r="AD125" s="71">
        <f t="shared" si="33"/>
        <v>1190.1290322580644</v>
      </c>
      <c r="AE125" s="71">
        <f t="shared" si="44"/>
        <v>11061.096774193547</v>
      </c>
    </row>
    <row r="126" spans="1:31" x14ac:dyDescent="0.2">
      <c r="A126" s="64" t="s">
        <v>293</v>
      </c>
      <c r="B126" s="65">
        <f t="shared" si="50"/>
        <v>121</v>
      </c>
      <c r="C126" s="65" t="s">
        <v>249</v>
      </c>
      <c r="D126" s="65" t="s">
        <v>51</v>
      </c>
      <c r="E126" s="66" t="s">
        <v>236</v>
      </c>
      <c r="F126" s="67">
        <v>42815</v>
      </c>
      <c r="G126" s="65">
        <v>22</v>
      </c>
      <c r="H126" s="68">
        <f t="shared" si="35"/>
        <v>3548.3870967741932</v>
      </c>
      <c r="I126" s="68">
        <f t="shared" si="45"/>
        <v>0</v>
      </c>
      <c r="J126" s="68">
        <f t="shared" si="36"/>
        <v>177.41935483870967</v>
      </c>
      <c r="K126" s="68"/>
      <c r="L126" s="68">
        <f t="shared" si="46"/>
        <v>567.74193548387098</v>
      </c>
      <c r="M126" s="68"/>
      <c r="N126" s="68">
        <f>((1950+1000)/G$3)*G126</f>
        <v>2093.5483870967741</v>
      </c>
      <c r="O126" s="68">
        <v>0</v>
      </c>
      <c r="P126" s="68">
        <v>0</v>
      </c>
      <c r="Q126" s="68">
        <v>258</v>
      </c>
      <c r="R126" s="68">
        <f t="shared" ref="R126" si="58">SUM(H126:Q126)</f>
        <v>6645.0967741935474</v>
      </c>
      <c r="S126" s="69">
        <f t="shared" si="37"/>
        <v>425.80645161290317</v>
      </c>
      <c r="T126" s="69">
        <f t="shared" si="38"/>
        <v>117</v>
      </c>
      <c r="U126" s="68">
        <f t="shared" si="48"/>
        <v>0</v>
      </c>
      <c r="V126" s="68">
        <v>0</v>
      </c>
      <c r="W126" s="68">
        <f t="shared" si="55"/>
        <v>542.80645161290317</v>
      </c>
      <c r="X126" s="68">
        <f t="shared" si="40"/>
        <v>6102.290322580644</v>
      </c>
      <c r="Y126" s="68">
        <v>0</v>
      </c>
      <c r="Z126" s="68">
        <f t="shared" si="49"/>
        <v>6102.290322580644</v>
      </c>
      <c r="AA126" s="69">
        <f t="shared" si="41"/>
        <v>466.61290322580641</v>
      </c>
      <c r="AB126" s="69">
        <f t="shared" si="42"/>
        <v>316</v>
      </c>
      <c r="AC126" s="70">
        <f t="shared" si="43"/>
        <v>0</v>
      </c>
      <c r="AD126" s="71">
        <f t="shared" si="33"/>
        <v>782.61290322580635</v>
      </c>
      <c r="AE126" s="71">
        <f t="shared" si="44"/>
        <v>7427.7096774193542</v>
      </c>
    </row>
    <row r="127" spans="1:31" x14ac:dyDescent="0.2">
      <c r="A127" s="64" t="s">
        <v>1693</v>
      </c>
      <c r="B127" s="65">
        <f t="shared" si="50"/>
        <v>122</v>
      </c>
      <c r="C127" s="65" t="s">
        <v>1629</v>
      </c>
      <c r="D127" s="65" t="s">
        <v>51</v>
      </c>
      <c r="E127" s="66" t="s">
        <v>237</v>
      </c>
      <c r="F127" s="67">
        <v>43103</v>
      </c>
      <c r="G127" s="65">
        <v>33</v>
      </c>
      <c r="H127" s="68">
        <f t="shared" si="35"/>
        <v>5322.5806451612898</v>
      </c>
      <c r="I127" s="68">
        <f t="shared" si="45"/>
        <v>0</v>
      </c>
      <c r="J127" s="68">
        <f t="shared" si="36"/>
        <v>266.12903225806451</v>
      </c>
      <c r="K127" s="68"/>
      <c r="L127" s="68">
        <f t="shared" si="46"/>
        <v>851.61290322580635</v>
      </c>
      <c r="M127" s="68"/>
      <c r="N127" s="68">
        <f t="shared" ref="N127:N150" si="59">((1950+2000+996)/G$3)*G127</f>
        <v>5265.0967741935492</v>
      </c>
      <c r="O127" s="68">
        <v>0</v>
      </c>
      <c r="P127" s="68">
        <v>0</v>
      </c>
      <c r="Q127" s="68">
        <v>0</v>
      </c>
      <c r="R127" s="68">
        <f t="shared" ref="R127:R151" si="60">SUM(H127:Q127)</f>
        <v>11705.41935483871</v>
      </c>
      <c r="S127" s="69">
        <f t="shared" si="37"/>
        <v>638.70967741935476</v>
      </c>
      <c r="T127" s="69">
        <f t="shared" si="38"/>
        <v>205</v>
      </c>
      <c r="U127" s="68">
        <f t="shared" si="48"/>
        <v>200</v>
      </c>
      <c r="V127" s="68">
        <v>0</v>
      </c>
      <c r="W127" s="68">
        <f t="shared" si="55"/>
        <v>1043.7096774193546</v>
      </c>
      <c r="X127" s="68">
        <f t="shared" si="40"/>
        <v>10661.709677419356</v>
      </c>
      <c r="Y127" s="68">
        <v>0</v>
      </c>
      <c r="Z127" s="68">
        <f t="shared" si="49"/>
        <v>10661.709677419356</v>
      </c>
      <c r="AA127" s="69">
        <f t="shared" si="41"/>
        <v>699.91935483870964</v>
      </c>
      <c r="AB127" s="69">
        <f t="shared" si="42"/>
        <v>557</v>
      </c>
      <c r="AC127" s="70">
        <f t="shared" si="43"/>
        <v>0</v>
      </c>
      <c r="AD127" s="71">
        <f t="shared" si="33"/>
        <v>1256.9193548387098</v>
      </c>
      <c r="AE127" s="71">
        <f t="shared" si="44"/>
        <v>12962.33870967742</v>
      </c>
    </row>
    <row r="128" spans="1:31" x14ac:dyDescent="0.2">
      <c r="A128" s="64" t="s">
        <v>1694</v>
      </c>
      <c r="B128" s="65">
        <f t="shared" si="50"/>
        <v>123</v>
      </c>
      <c r="C128" s="65" t="s">
        <v>1630</v>
      </c>
      <c r="D128" s="65" t="s">
        <v>51</v>
      </c>
      <c r="E128" s="66" t="s">
        <v>658</v>
      </c>
      <c r="F128" s="67">
        <v>43104</v>
      </c>
      <c r="G128" s="65">
        <v>30</v>
      </c>
      <c r="H128" s="68">
        <f t="shared" si="35"/>
        <v>4838.7096774193542</v>
      </c>
      <c r="I128" s="68">
        <f t="shared" si="45"/>
        <v>0</v>
      </c>
      <c r="J128" s="68">
        <f t="shared" si="36"/>
        <v>241.93548387096772</v>
      </c>
      <c r="K128" s="68"/>
      <c r="L128" s="68">
        <f t="shared" si="46"/>
        <v>774.19354838709671</v>
      </c>
      <c r="M128" s="68"/>
      <c r="N128" s="68">
        <f t="shared" si="59"/>
        <v>4786.4516129032263</v>
      </c>
      <c r="O128" s="68">
        <v>0</v>
      </c>
      <c r="P128" s="68">
        <v>0</v>
      </c>
      <c r="Q128" s="68">
        <v>403</v>
      </c>
      <c r="R128" s="68">
        <f t="shared" si="60"/>
        <v>11044.290322580644</v>
      </c>
      <c r="S128" s="69">
        <f t="shared" si="37"/>
        <v>580.64516129032245</v>
      </c>
      <c r="T128" s="69">
        <f t="shared" si="38"/>
        <v>194</v>
      </c>
      <c r="U128" s="68">
        <f t="shared" si="48"/>
        <v>200</v>
      </c>
      <c r="V128" s="68">
        <v>0</v>
      </c>
      <c r="W128" s="68">
        <f t="shared" si="55"/>
        <v>974.64516129032245</v>
      </c>
      <c r="X128" s="68">
        <f t="shared" si="40"/>
        <v>10069.645161290322</v>
      </c>
      <c r="Y128" s="68">
        <v>0</v>
      </c>
      <c r="Z128" s="68">
        <f t="shared" si="49"/>
        <v>10069.645161290322</v>
      </c>
      <c r="AA128" s="69">
        <f t="shared" si="41"/>
        <v>636.29032258064512</v>
      </c>
      <c r="AB128" s="69">
        <f t="shared" si="42"/>
        <v>525</v>
      </c>
      <c r="AC128" s="70">
        <f t="shared" si="43"/>
        <v>0</v>
      </c>
      <c r="AD128" s="71">
        <f t="shared" si="33"/>
        <v>1161.2903225806451</v>
      </c>
      <c r="AE128" s="71">
        <f t="shared" si="44"/>
        <v>12205.58064516129</v>
      </c>
    </row>
    <row r="129" spans="1:32" x14ac:dyDescent="0.2">
      <c r="A129" s="64" t="s">
        <v>1695</v>
      </c>
      <c r="B129" s="65">
        <f t="shared" si="50"/>
        <v>124</v>
      </c>
      <c r="C129" s="65" t="s">
        <v>1226</v>
      </c>
      <c r="D129" s="65" t="s">
        <v>51</v>
      </c>
      <c r="E129" s="66" t="s">
        <v>658</v>
      </c>
      <c r="F129" s="67">
        <v>43101</v>
      </c>
      <c r="G129" s="65">
        <v>26</v>
      </c>
      <c r="H129" s="68">
        <f t="shared" si="35"/>
        <v>4193.5483870967737</v>
      </c>
      <c r="I129" s="68">
        <f t="shared" si="45"/>
        <v>0</v>
      </c>
      <c r="J129" s="68">
        <f t="shared" si="36"/>
        <v>209.67741935483869</v>
      </c>
      <c r="K129" s="68"/>
      <c r="L129" s="68">
        <f t="shared" si="46"/>
        <v>670.96774193548379</v>
      </c>
      <c r="M129" s="68"/>
      <c r="N129" s="68">
        <f t="shared" si="59"/>
        <v>4148.2580645161297</v>
      </c>
      <c r="O129" s="68">
        <v>0</v>
      </c>
      <c r="P129" s="68">
        <v>0</v>
      </c>
      <c r="Q129" s="68">
        <v>355</v>
      </c>
      <c r="R129" s="68">
        <f t="shared" si="60"/>
        <v>9577.4516129032272</v>
      </c>
      <c r="S129" s="69">
        <f t="shared" si="37"/>
        <v>503.22580645161281</v>
      </c>
      <c r="T129" s="69">
        <f t="shared" si="38"/>
        <v>168</v>
      </c>
      <c r="U129" s="68">
        <f t="shared" si="48"/>
        <v>175</v>
      </c>
      <c r="V129" s="68">
        <v>0</v>
      </c>
      <c r="W129" s="68">
        <f t="shared" si="55"/>
        <v>846.22580645161281</v>
      </c>
      <c r="X129" s="68">
        <f t="shared" si="40"/>
        <v>8731.2258064516136</v>
      </c>
      <c r="Y129" s="68">
        <v>0</v>
      </c>
      <c r="Z129" s="68">
        <f t="shared" si="49"/>
        <v>8731.2258064516136</v>
      </c>
      <c r="AA129" s="69">
        <f t="shared" si="41"/>
        <v>551.45161290322574</v>
      </c>
      <c r="AB129" s="69">
        <f t="shared" si="42"/>
        <v>455</v>
      </c>
      <c r="AC129" s="70">
        <f t="shared" si="43"/>
        <v>0</v>
      </c>
      <c r="AD129" s="71">
        <f t="shared" si="33"/>
        <v>1006.4516129032257</v>
      </c>
      <c r="AE129" s="71">
        <f t="shared" si="44"/>
        <v>10583.903225806453</v>
      </c>
    </row>
    <row r="130" spans="1:32" s="59" customFormat="1" x14ac:dyDescent="0.2">
      <c r="A130" s="125" t="s">
        <v>1696</v>
      </c>
      <c r="B130" s="126">
        <f t="shared" si="50"/>
        <v>125</v>
      </c>
      <c r="C130" s="126" t="s">
        <v>1631</v>
      </c>
      <c r="D130" s="126" t="s">
        <v>51</v>
      </c>
      <c r="E130" s="127" t="s">
        <v>236</v>
      </c>
      <c r="F130" s="128">
        <v>43106</v>
      </c>
      <c r="G130" s="126">
        <v>30</v>
      </c>
      <c r="H130" s="124">
        <f t="shared" si="35"/>
        <v>4838.7096774193542</v>
      </c>
      <c r="I130" s="124">
        <f t="shared" si="45"/>
        <v>0</v>
      </c>
      <c r="J130" s="124">
        <f t="shared" si="36"/>
        <v>241.93548387096772</v>
      </c>
      <c r="K130" s="124"/>
      <c r="L130" s="124">
        <f t="shared" si="46"/>
        <v>774.19354838709671</v>
      </c>
      <c r="M130" s="124"/>
      <c r="N130" s="124">
        <f>((950+2000)/G$3)*G130</f>
        <v>2854.838709677419</v>
      </c>
      <c r="O130" s="124">
        <v>0</v>
      </c>
      <c r="P130" s="124">
        <v>0</v>
      </c>
      <c r="Q130" s="124">
        <v>419</v>
      </c>
      <c r="R130" s="124">
        <f t="shared" si="60"/>
        <v>9128.6774193548372</v>
      </c>
      <c r="S130" s="129">
        <f t="shared" si="37"/>
        <v>580.64516129032245</v>
      </c>
      <c r="T130" s="129">
        <f t="shared" si="38"/>
        <v>160</v>
      </c>
      <c r="U130" s="124">
        <f t="shared" si="48"/>
        <v>175</v>
      </c>
      <c r="V130" s="124">
        <v>0</v>
      </c>
      <c r="W130" s="124">
        <f t="shared" si="55"/>
        <v>915.64516129032245</v>
      </c>
      <c r="X130" s="124">
        <f t="shared" si="40"/>
        <v>8213.0322580645152</v>
      </c>
      <c r="Y130" s="124">
        <v>0</v>
      </c>
      <c r="Z130" s="124">
        <f t="shared" si="49"/>
        <v>8213.0322580645152</v>
      </c>
      <c r="AA130" s="129">
        <f t="shared" si="41"/>
        <v>636.29032258064512</v>
      </c>
      <c r="AB130" s="129">
        <f t="shared" si="42"/>
        <v>434</v>
      </c>
      <c r="AC130" s="130">
        <f t="shared" si="43"/>
        <v>0</v>
      </c>
      <c r="AD130" s="131">
        <f t="shared" si="33"/>
        <v>1070.2903225806451</v>
      </c>
      <c r="AE130" s="131">
        <f t="shared" si="44"/>
        <v>10198.967741935483</v>
      </c>
    </row>
    <row r="131" spans="1:32" x14ac:dyDescent="0.2">
      <c r="A131" s="64" t="s">
        <v>1697</v>
      </c>
      <c r="B131" s="65">
        <f t="shared" si="50"/>
        <v>126</v>
      </c>
      <c r="C131" s="65" t="s">
        <v>1632</v>
      </c>
      <c r="D131" s="65" t="s">
        <v>51</v>
      </c>
      <c r="E131" s="66" t="s">
        <v>581</v>
      </c>
      <c r="F131" s="67">
        <v>43106</v>
      </c>
      <c r="G131" s="65">
        <v>29</v>
      </c>
      <c r="H131" s="68">
        <f t="shared" si="35"/>
        <v>4677.4193548387093</v>
      </c>
      <c r="I131" s="68">
        <f t="shared" si="45"/>
        <v>0</v>
      </c>
      <c r="J131" s="68">
        <f t="shared" si="36"/>
        <v>233.87096774193549</v>
      </c>
      <c r="K131" s="68"/>
      <c r="L131" s="68">
        <f t="shared" si="46"/>
        <v>748.38709677419354</v>
      </c>
      <c r="M131" s="68"/>
      <c r="N131" s="68">
        <f t="shared" si="59"/>
        <v>4626.9032258064517</v>
      </c>
      <c r="O131" s="68">
        <v>0</v>
      </c>
      <c r="P131" s="68">
        <v>0</v>
      </c>
      <c r="Q131" s="68">
        <v>0</v>
      </c>
      <c r="R131" s="68">
        <f t="shared" si="60"/>
        <v>10286.58064516129</v>
      </c>
      <c r="S131" s="69">
        <f t="shared" si="37"/>
        <v>561.29032258064512</v>
      </c>
      <c r="T131" s="69">
        <f t="shared" si="38"/>
        <v>181</v>
      </c>
      <c r="U131" s="68">
        <f t="shared" si="48"/>
        <v>200</v>
      </c>
      <c r="V131" s="68">
        <v>0</v>
      </c>
      <c r="W131" s="68">
        <f t="shared" si="55"/>
        <v>942.29032258064512</v>
      </c>
      <c r="X131" s="68">
        <f t="shared" si="40"/>
        <v>9344.290322580644</v>
      </c>
      <c r="Y131" s="68">
        <v>0</v>
      </c>
      <c r="Z131" s="68">
        <f t="shared" si="49"/>
        <v>9344.290322580644</v>
      </c>
      <c r="AA131" s="69">
        <f t="shared" si="41"/>
        <v>615.08064516129025</v>
      </c>
      <c r="AB131" s="69">
        <f t="shared" si="42"/>
        <v>489</v>
      </c>
      <c r="AC131" s="70">
        <f t="shared" si="43"/>
        <v>0</v>
      </c>
      <c r="AD131" s="71">
        <f t="shared" ref="AD131:AD151" si="61">SUM(AA131:AC131)</f>
        <v>1104.0806451612902</v>
      </c>
      <c r="AE131" s="71">
        <f t="shared" si="44"/>
        <v>11390.66129032258</v>
      </c>
    </row>
    <row r="132" spans="1:32" x14ac:dyDescent="0.2">
      <c r="A132" s="64" t="s">
        <v>1698</v>
      </c>
      <c r="B132" s="65">
        <f t="shared" si="50"/>
        <v>127</v>
      </c>
      <c r="C132" s="65" t="s">
        <v>1633</v>
      </c>
      <c r="D132" s="65" t="s">
        <v>51</v>
      </c>
      <c r="E132" s="66" t="s">
        <v>658</v>
      </c>
      <c r="F132" s="67">
        <v>43107</v>
      </c>
      <c r="G132" s="65">
        <v>20</v>
      </c>
      <c r="H132" s="68">
        <f t="shared" si="35"/>
        <v>3225.8064516129029</v>
      </c>
      <c r="I132" s="68">
        <f t="shared" si="45"/>
        <v>0</v>
      </c>
      <c r="J132" s="68">
        <f t="shared" si="36"/>
        <v>161.29032258064515</v>
      </c>
      <c r="K132" s="68"/>
      <c r="L132" s="68">
        <f t="shared" si="46"/>
        <v>516.12903225806451</v>
      </c>
      <c r="M132" s="68"/>
      <c r="N132" s="68">
        <f t="shared" si="59"/>
        <v>3190.9677419354839</v>
      </c>
      <c r="O132" s="68">
        <v>0</v>
      </c>
      <c r="P132" s="68">
        <v>0</v>
      </c>
      <c r="Q132" s="68">
        <v>0</v>
      </c>
      <c r="R132" s="68">
        <f t="shared" si="60"/>
        <v>7094.1935483870966</v>
      </c>
      <c r="S132" s="69">
        <f t="shared" si="37"/>
        <v>387.09677419354836</v>
      </c>
      <c r="T132" s="69">
        <f t="shared" si="38"/>
        <v>125</v>
      </c>
      <c r="U132" s="68">
        <f t="shared" si="48"/>
        <v>0</v>
      </c>
      <c r="V132" s="68">
        <v>0</v>
      </c>
      <c r="W132" s="68">
        <f t="shared" si="55"/>
        <v>512.0967741935483</v>
      </c>
      <c r="X132" s="68">
        <f t="shared" si="40"/>
        <v>6582.0967741935483</v>
      </c>
      <c r="Y132" s="68">
        <v>0</v>
      </c>
      <c r="Z132" s="68">
        <f t="shared" si="49"/>
        <v>6582.0967741935483</v>
      </c>
      <c r="AA132" s="69">
        <f t="shared" si="41"/>
        <v>424.19354838709677</v>
      </c>
      <c r="AB132" s="69">
        <f t="shared" si="42"/>
        <v>337</v>
      </c>
      <c r="AC132" s="70">
        <f t="shared" si="43"/>
        <v>0</v>
      </c>
      <c r="AD132" s="71">
        <f t="shared" si="61"/>
        <v>761.19354838709683</v>
      </c>
      <c r="AE132" s="71">
        <f t="shared" si="44"/>
        <v>7855.3870967741932</v>
      </c>
    </row>
    <row r="133" spans="1:32" x14ac:dyDescent="0.2">
      <c r="A133" s="64" t="s">
        <v>1699</v>
      </c>
      <c r="B133" s="65">
        <f t="shared" si="50"/>
        <v>128</v>
      </c>
      <c r="C133" s="65" t="s">
        <v>1634</v>
      </c>
      <c r="D133" s="65" t="s">
        <v>51</v>
      </c>
      <c r="E133" s="66" t="s">
        <v>658</v>
      </c>
      <c r="F133" s="67">
        <v>43107</v>
      </c>
      <c r="G133" s="65">
        <v>25</v>
      </c>
      <c r="H133" s="68">
        <f t="shared" si="35"/>
        <v>4032.2580645161288</v>
      </c>
      <c r="I133" s="68">
        <f t="shared" si="45"/>
        <v>0</v>
      </c>
      <c r="J133" s="68">
        <f t="shared" si="36"/>
        <v>201.61290322580646</v>
      </c>
      <c r="K133" s="68"/>
      <c r="L133" s="68">
        <f t="shared" si="46"/>
        <v>645.16129032258061</v>
      </c>
      <c r="M133" s="68"/>
      <c r="N133" s="68">
        <f t="shared" si="59"/>
        <v>3988.7096774193551</v>
      </c>
      <c r="O133" s="68">
        <v>0</v>
      </c>
      <c r="P133" s="68">
        <v>0</v>
      </c>
      <c r="Q133" s="68">
        <v>0</v>
      </c>
      <c r="R133" s="68">
        <f t="shared" si="60"/>
        <v>8867.7419354838712</v>
      </c>
      <c r="S133" s="69">
        <f t="shared" si="37"/>
        <v>483.87096774193543</v>
      </c>
      <c r="T133" s="69">
        <f t="shared" si="38"/>
        <v>156</v>
      </c>
      <c r="U133" s="68">
        <f t="shared" si="48"/>
        <v>175</v>
      </c>
      <c r="V133" s="68">
        <v>0</v>
      </c>
      <c r="W133" s="68">
        <f t="shared" si="55"/>
        <v>814.87096774193537</v>
      </c>
      <c r="X133" s="68">
        <f t="shared" si="40"/>
        <v>8052.8709677419356</v>
      </c>
      <c r="Y133" s="68">
        <v>0</v>
      </c>
      <c r="Z133" s="68">
        <f t="shared" si="49"/>
        <v>8052.8709677419356</v>
      </c>
      <c r="AA133" s="69">
        <f t="shared" si="41"/>
        <v>530.24193548387098</v>
      </c>
      <c r="AB133" s="69">
        <f t="shared" si="42"/>
        <v>422</v>
      </c>
      <c r="AC133" s="70">
        <f t="shared" si="43"/>
        <v>0</v>
      </c>
      <c r="AD133" s="71">
        <f t="shared" si="61"/>
        <v>952.24193548387098</v>
      </c>
      <c r="AE133" s="71">
        <f t="shared" si="44"/>
        <v>9819.9838709677424</v>
      </c>
    </row>
    <row r="134" spans="1:32" x14ac:dyDescent="0.2">
      <c r="A134" s="64" t="s">
        <v>1700</v>
      </c>
      <c r="B134" s="65">
        <f t="shared" si="50"/>
        <v>129</v>
      </c>
      <c r="C134" s="65" t="s">
        <v>1635</v>
      </c>
      <c r="D134" s="65" t="s">
        <v>51</v>
      </c>
      <c r="E134" s="66" t="s">
        <v>236</v>
      </c>
      <c r="F134" s="67">
        <v>43109</v>
      </c>
      <c r="G134" s="65">
        <v>25</v>
      </c>
      <c r="H134" s="68">
        <f t="shared" ref="H134:H151" si="62">(5000/G$3)*G134</f>
        <v>4032.2580645161288</v>
      </c>
      <c r="I134" s="68">
        <f t="shared" si="45"/>
        <v>0</v>
      </c>
      <c r="J134" s="68">
        <f t="shared" ref="J134:J151" si="63">(H134+I134)*5%</f>
        <v>201.61290322580646</v>
      </c>
      <c r="K134" s="68"/>
      <c r="L134" s="68">
        <f t="shared" si="46"/>
        <v>645.16129032258061</v>
      </c>
      <c r="M134" s="68"/>
      <c r="N134" s="68">
        <f>((950+2000)/G$3)*G134</f>
        <v>2379.0322580645161</v>
      </c>
      <c r="O134" s="68">
        <v>0</v>
      </c>
      <c r="P134" s="68">
        <v>0</v>
      </c>
      <c r="Q134" s="68">
        <v>0</v>
      </c>
      <c r="R134" s="68">
        <f t="shared" si="60"/>
        <v>7258.0645161290322</v>
      </c>
      <c r="S134" s="69">
        <f t="shared" ref="S134:S151" si="64">(H134+I134)*12%</f>
        <v>483.87096774193543</v>
      </c>
      <c r="T134" s="69">
        <f t="shared" ref="T134:T151" si="65">ROUNDUP((R134*1.75%),0)</f>
        <v>128</v>
      </c>
      <c r="U134" s="68">
        <f t="shared" si="48"/>
        <v>0</v>
      </c>
      <c r="V134" s="68">
        <v>0</v>
      </c>
      <c r="W134" s="68">
        <f t="shared" ref="W134:W151" si="66">SUM(S134:V134)</f>
        <v>611.87096774193537</v>
      </c>
      <c r="X134" s="68">
        <f t="shared" ref="X134:X151" si="67">R134-W134</f>
        <v>6646.1935483870966</v>
      </c>
      <c r="Y134" s="68">
        <v>0</v>
      </c>
      <c r="Z134" s="68">
        <f t="shared" si="49"/>
        <v>6646.1935483870966</v>
      </c>
      <c r="AA134" s="69">
        <f t="shared" ref="AA134:AA151" si="68">(H134+I134)*13.15%</f>
        <v>530.24193548387098</v>
      </c>
      <c r="AB134" s="69">
        <f t="shared" ref="AB134:AB151" si="69">CEILING((R134)*4.75%,1)</f>
        <v>345</v>
      </c>
      <c r="AC134" s="70">
        <f t="shared" ref="AC134:AC151" si="70">V134*3</f>
        <v>0</v>
      </c>
      <c r="AD134" s="71">
        <f t="shared" si="61"/>
        <v>875.24193548387098</v>
      </c>
      <c r="AE134" s="71">
        <f t="shared" ref="AE134:AE151" si="71">R134+AD134</f>
        <v>8133.3064516129034</v>
      </c>
    </row>
    <row r="135" spans="1:32" x14ac:dyDescent="0.2">
      <c r="A135" s="64" t="s">
        <v>1701</v>
      </c>
      <c r="B135" s="65">
        <f t="shared" si="50"/>
        <v>130</v>
      </c>
      <c r="C135" s="65" t="s">
        <v>1636</v>
      </c>
      <c r="D135" s="65" t="s">
        <v>51</v>
      </c>
      <c r="E135" s="66" t="s">
        <v>658</v>
      </c>
      <c r="F135" s="67">
        <v>43110</v>
      </c>
      <c r="G135" s="65">
        <v>18</v>
      </c>
      <c r="H135" s="68">
        <f t="shared" si="62"/>
        <v>2903.2258064516127</v>
      </c>
      <c r="I135" s="68">
        <f t="shared" ref="I135:I151" si="72">((0)/G$3)*G135</f>
        <v>0</v>
      </c>
      <c r="J135" s="68">
        <f t="shared" si="63"/>
        <v>145.16129032258064</v>
      </c>
      <c r="K135" s="68"/>
      <c r="L135" s="68">
        <f t="shared" ref="L135:L151" si="73">((800)/G$3)*G135</f>
        <v>464.51612903225805</v>
      </c>
      <c r="M135" s="68"/>
      <c r="N135" s="68">
        <f t="shared" si="59"/>
        <v>2871.8709677419356</v>
      </c>
      <c r="O135" s="68">
        <v>0</v>
      </c>
      <c r="P135" s="68">
        <v>0</v>
      </c>
      <c r="Q135" s="68">
        <v>0</v>
      </c>
      <c r="R135" s="68">
        <f t="shared" si="60"/>
        <v>6384.7741935483864</v>
      </c>
      <c r="S135" s="69">
        <f t="shared" si="64"/>
        <v>348.38709677419354</v>
      </c>
      <c r="T135" s="69">
        <f t="shared" si="65"/>
        <v>112</v>
      </c>
      <c r="U135" s="68">
        <f t="shared" ref="U135:U151" si="74">+IF(R135&lt;2501,0,IF((R135&gt;2501)*(R135&lt;3500),0,IF((R135&gt;3501)*(R135&lt;7500),0,IF((R135&gt;7501)*(R135&lt;10000),175,200))))</f>
        <v>0</v>
      </c>
      <c r="V135" s="68">
        <v>0</v>
      </c>
      <c r="W135" s="68">
        <f t="shared" si="66"/>
        <v>460.38709677419354</v>
      </c>
      <c r="X135" s="68">
        <f t="shared" si="67"/>
        <v>5924.3870967741932</v>
      </c>
      <c r="Y135" s="68">
        <v>0</v>
      </c>
      <c r="Z135" s="68">
        <f t="shared" ref="Z135:Z151" si="75">X135-Y135</f>
        <v>5924.3870967741932</v>
      </c>
      <c r="AA135" s="69">
        <f t="shared" si="68"/>
        <v>381.77419354838707</v>
      </c>
      <c r="AB135" s="69">
        <f t="shared" si="69"/>
        <v>304</v>
      </c>
      <c r="AC135" s="70">
        <f t="shared" si="70"/>
        <v>0</v>
      </c>
      <c r="AD135" s="71">
        <f t="shared" si="61"/>
        <v>685.77419354838707</v>
      </c>
      <c r="AE135" s="71">
        <f t="shared" si="71"/>
        <v>7070.5483870967737</v>
      </c>
    </row>
    <row r="136" spans="1:32" x14ac:dyDescent="0.2">
      <c r="A136" s="64" t="s">
        <v>1681</v>
      </c>
      <c r="B136" s="65">
        <f t="shared" ref="B136:B151" si="76">B135+1</f>
        <v>131</v>
      </c>
      <c r="C136" s="65" t="s">
        <v>1637</v>
      </c>
      <c r="D136" s="65" t="s">
        <v>51</v>
      </c>
      <c r="E136" s="66" t="s">
        <v>238</v>
      </c>
      <c r="F136" s="67">
        <v>43114</v>
      </c>
      <c r="G136" s="65">
        <v>21</v>
      </c>
      <c r="H136" s="68">
        <f t="shared" si="62"/>
        <v>3387.0967741935483</v>
      </c>
      <c r="I136" s="68">
        <f t="shared" si="72"/>
        <v>0</v>
      </c>
      <c r="J136" s="68">
        <f t="shared" si="63"/>
        <v>169.35483870967744</v>
      </c>
      <c r="K136" s="68"/>
      <c r="L136" s="68">
        <f t="shared" si="73"/>
        <v>541.93548387096769</v>
      </c>
      <c r="M136" s="68"/>
      <c r="N136" s="68">
        <f t="shared" si="59"/>
        <v>3350.5161290322585</v>
      </c>
      <c r="O136" s="68">
        <v>0</v>
      </c>
      <c r="P136" s="68">
        <v>0</v>
      </c>
      <c r="Q136" s="68">
        <v>0</v>
      </c>
      <c r="R136" s="68">
        <f t="shared" si="60"/>
        <v>7448.9032258064517</v>
      </c>
      <c r="S136" s="69">
        <f t="shared" si="64"/>
        <v>406.45161290322579</v>
      </c>
      <c r="T136" s="69">
        <f t="shared" si="65"/>
        <v>131</v>
      </c>
      <c r="U136" s="68">
        <f t="shared" si="74"/>
        <v>0</v>
      </c>
      <c r="V136" s="68">
        <v>0</v>
      </c>
      <c r="W136" s="68">
        <f t="shared" si="66"/>
        <v>537.45161290322585</v>
      </c>
      <c r="X136" s="68">
        <f t="shared" si="67"/>
        <v>6911.4516129032254</v>
      </c>
      <c r="Y136" s="68">
        <v>0</v>
      </c>
      <c r="Z136" s="68">
        <f t="shared" si="75"/>
        <v>6911.4516129032254</v>
      </c>
      <c r="AA136" s="69">
        <f t="shared" si="68"/>
        <v>445.40322580645164</v>
      </c>
      <c r="AB136" s="69">
        <f t="shared" si="69"/>
        <v>354</v>
      </c>
      <c r="AC136" s="70">
        <f t="shared" si="70"/>
        <v>0</v>
      </c>
      <c r="AD136" s="71">
        <f t="shared" si="61"/>
        <v>799.4032258064517</v>
      </c>
      <c r="AE136" s="71">
        <f t="shared" si="71"/>
        <v>8248.3064516129034</v>
      </c>
    </row>
    <row r="137" spans="1:32" x14ac:dyDescent="0.2">
      <c r="A137" s="64" t="s">
        <v>1682</v>
      </c>
      <c r="B137" s="65">
        <f t="shared" si="76"/>
        <v>132</v>
      </c>
      <c r="C137" s="65" t="s">
        <v>1638</v>
      </c>
      <c r="D137" s="65" t="s">
        <v>51</v>
      </c>
      <c r="E137" s="66" t="s">
        <v>238</v>
      </c>
      <c r="F137" s="67">
        <v>43115</v>
      </c>
      <c r="G137" s="65">
        <v>20</v>
      </c>
      <c r="H137" s="68">
        <f t="shared" si="62"/>
        <v>3225.8064516129029</v>
      </c>
      <c r="I137" s="68">
        <f t="shared" si="72"/>
        <v>0</v>
      </c>
      <c r="J137" s="68">
        <f t="shared" si="63"/>
        <v>161.29032258064515</v>
      </c>
      <c r="K137" s="68"/>
      <c r="L137" s="68">
        <f t="shared" si="73"/>
        <v>516.12903225806451</v>
      </c>
      <c r="M137" s="68"/>
      <c r="N137" s="68">
        <f t="shared" si="59"/>
        <v>3190.9677419354839</v>
      </c>
      <c r="O137" s="68">
        <v>0</v>
      </c>
      <c r="P137" s="68">
        <v>0</v>
      </c>
      <c r="Q137" s="68">
        <v>0</v>
      </c>
      <c r="R137" s="68">
        <f t="shared" si="60"/>
        <v>7094.1935483870966</v>
      </c>
      <c r="S137" s="69">
        <f t="shared" si="64"/>
        <v>387.09677419354836</v>
      </c>
      <c r="T137" s="69">
        <f t="shared" si="65"/>
        <v>125</v>
      </c>
      <c r="U137" s="68">
        <f t="shared" si="74"/>
        <v>0</v>
      </c>
      <c r="V137" s="68">
        <v>0</v>
      </c>
      <c r="W137" s="68">
        <f t="shared" si="66"/>
        <v>512.0967741935483</v>
      </c>
      <c r="X137" s="68">
        <f t="shared" si="67"/>
        <v>6582.0967741935483</v>
      </c>
      <c r="Y137" s="68">
        <v>0</v>
      </c>
      <c r="Z137" s="68">
        <f t="shared" si="75"/>
        <v>6582.0967741935483</v>
      </c>
      <c r="AA137" s="69">
        <f t="shared" si="68"/>
        <v>424.19354838709677</v>
      </c>
      <c r="AB137" s="69">
        <f t="shared" si="69"/>
        <v>337</v>
      </c>
      <c r="AC137" s="70">
        <f t="shared" si="70"/>
        <v>0</v>
      </c>
      <c r="AD137" s="71">
        <f t="shared" si="61"/>
        <v>761.19354838709683</v>
      </c>
      <c r="AE137" s="71">
        <f t="shared" si="71"/>
        <v>7855.3870967741932</v>
      </c>
    </row>
    <row r="138" spans="1:32" x14ac:dyDescent="0.2">
      <c r="A138" s="64" t="s">
        <v>1702</v>
      </c>
      <c r="B138" s="65">
        <f t="shared" si="76"/>
        <v>133</v>
      </c>
      <c r="C138" s="65" t="s">
        <v>1639</v>
      </c>
      <c r="D138" s="65" t="s">
        <v>51</v>
      </c>
      <c r="E138" s="66" t="s">
        <v>658</v>
      </c>
      <c r="F138" s="67">
        <v>43116</v>
      </c>
      <c r="G138" s="65">
        <v>16</v>
      </c>
      <c r="H138" s="68">
        <f t="shared" si="62"/>
        <v>2580.6451612903224</v>
      </c>
      <c r="I138" s="68">
        <f t="shared" si="72"/>
        <v>0</v>
      </c>
      <c r="J138" s="68">
        <f t="shared" si="63"/>
        <v>129.03225806451613</v>
      </c>
      <c r="K138" s="68"/>
      <c r="L138" s="68">
        <f t="shared" si="73"/>
        <v>412.90322580645159</v>
      </c>
      <c r="M138" s="68"/>
      <c r="N138" s="68">
        <f t="shared" si="59"/>
        <v>2552.7741935483873</v>
      </c>
      <c r="O138" s="68">
        <v>0</v>
      </c>
      <c r="P138" s="68">
        <v>0</v>
      </c>
      <c r="Q138" s="68">
        <v>0</v>
      </c>
      <c r="R138" s="68">
        <f t="shared" si="60"/>
        <v>5675.354838709678</v>
      </c>
      <c r="S138" s="69">
        <f t="shared" si="64"/>
        <v>309.67741935483866</v>
      </c>
      <c r="T138" s="69">
        <f t="shared" si="65"/>
        <v>100</v>
      </c>
      <c r="U138" s="68">
        <f t="shared" si="74"/>
        <v>0</v>
      </c>
      <c r="V138" s="68">
        <v>0</v>
      </c>
      <c r="W138" s="68">
        <f t="shared" si="66"/>
        <v>409.67741935483866</v>
      </c>
      <c r="X138" s="68">
        <f t="shared" si="67"/>
        <v>5265.677419354839</v>
      </c>
      <c r="Y138" s="68">
        <v>0</v>
      </c>
      <c r="Z138" s="68">
        <f t="shared" si="75"/>
        <v>5265.677419354839</v>
      </c>
      <c r="AA138" s="69">
        <f t="shared" si="68"/>
        <v>339.35483870967744</v>
      </c>
      <c r="AB138" s="69">
        <f t="shared" si="69"/>
        <v>270</v>
      </c>
      <c r="AC138" s="70">
        <f t="shared" si="70"/>
        <v>0</v>
      </c>
      <c r="AD138" s="71">
        <f t="shared" si="61"/>
        <v>609.35483870967744</v>
      </c>
      <c r="AE138" s="71">
        <f t="shared" si="71"/>
        <v>6284.7096774193551</v>
      </c>
    </row>
    <row r="139" spans="1:32" x14ac:dyDescent="0.2">
      <c r="A139" s="64" t="s">
        <v>1683</v>
      </c>
      <c r="B139" s="65">
        <f t="shared" si="76"/>
        <v>134</v>
      </c>
      <c r="C139" s="65" t="s">
        <v>1640</v>
      </c>
      <c r="D139" s="65" t="s">
        <v>51</v>
      </c>
      <c r="E139" s="66" t="s">
        <v>236</v>
      </c>
      <c r="F139" s="67">
        <v>43118</v>
      </c>
      <c r="G139" s="65">
        <v>17</v>
      </c>
      <c r="H139" s="68">
        <f t="shared" si="62"/>
        <v>2741.9354838709678</v>
      </c>
      <c r="I139" s="68">
        <f t="shared" si="72"/>
        <v>0</v>
      </c>
      <c r="J139" s="68">
        <f t="shared" si="63"/>
        <v>137.09677419354838</v>
      </c>
      <c r="K139" s="68"/>
      <c r="L139" s="68">
        <f t="shared" si="73"/>
        <v>438.70967741935482</v>
      </c>
      <c r="M139" s="68"/>
      <c r="N139" s="68">
        <f t="shared" ref="N139:N142" si="77">((950+2000)/G$3)*G139</f>
        <v>1617.741935483871</v>
      </c>
      <c r="O139" s="68">
        <v>0</v>
      </c>
      <c r="P139" s="68">
        <v>0</v>
      </c>
      <c r="Q139" s="68">
        <v>0</v>
      </c>
      <c r="R139" s="68">
        <f t="shared" si="60"/>
        <v>4935.4838709677415</v>
      </c>
      <c r="S139" s="69">
        <f t="shared" si="64"/>
        <v>329.0322580645161</v>
      </c>
      <c r="T139" s="69">
        <f t="shared" si="65"/>
        <v>87</v>
      </c>
      <c r="U139" s="68">
        <f t="shared" si="74"/>
        <v>0</v>
      </c>
      <c r="V139" s="68">
        <v>0</v>
      </c>
      <c r="W139" s="68">
        <f t="shared" si="66"/>
        <v>416.0322580645161</v>
      </c>
      <c r="X139" s="68">
        <f t="shared" si="67"/>
        <v>4519.4516129032254</v>
      </c>
      <c r="Y139" s="68">
        <v>0</v>
      </c>
      <c r="Z139" s="68">
        <f t="shared" si="75"/>
        <v>4519.4516129032254</v>
      </c>
      <c r="AA139" s="69">
        <f t="shared" si="68"/>
        <v>360.56451612903226</v>
      </c>
      <c r="AB139" s="69">
        <f t="shared" si="69"/>
        <v>235</v>
      </c>
      <c r="AC139" s="70">
        <f t="shared" si="70"/>
        <v>0</v>
      </c>
      <c r="AD139" s="71">
        <f t="shared" si="61"/>
        <v>595.5645161290322</v>
      </c>
      <c r="AE139" s="71">
        <f t="shared" si="71"/>
        <v>5531.0483870967737</v>
      </c>
    </row>
    <row r="140" spans="1:32" x14ac:dyDescent="0.2">
      <c r="A140" s="64" t="s">
        <v>1703</v>
      </c>
      <c r="B140" s="65">
        <f t="shared" si="76"/>
        <v>135</v>
      </c>
      <c r="C140" s="65" t="s">
        <v>1641</v>
      </c>
      <c r="D140" s="65" t="s">
        <v>51</v>
      </c>
      <c r="E140" s="66" t="s">
        <v>236</v>
      </c>
      <c r="F140" s="67">
        <v>43120</v>
      </c>
      <c r="G140" s="65">
        <v>13</v>
      </c>
      <c r="H140" s="68">
        <f t="shared" si="62"/>
        <v>2096.7741935483868</v>
      </c>
      <c r="I140" s="68">
        <f t="shared" si="72"/>
        <v>0</v>
      </c>
      <c r="J140" s="68">
        <f t="shared" si="63"/>
        <v>104.83870967741935</v>
      </c>
      <c r="K140" s="68"/>
      <c r="L140" s="68">
        <f t="shared" si="73"/>
        <v>335.48387096774189</v>
      </c>
      <c r="M140" s="68"/>
      <c r="N140" s="68">
        <f t="shared" si="77"/>
        <v>1237.0967741935483</v>
      </c>
      <c r="O140" s="68">
        <v>0</v>
      </c>
      <c r="P140" s="68">
        <v>0</v>
      </c>
      <c r="Q140" s="68">
        <v>161</v>
      </c>
      <c r="R140" s="68">
        <f t="shared" si="60"/>
        <v>3935.1935483870966</v>
      </c>
      <c r="S140" s="69">
        <f t="shared" si="64"/>
        <v>251.61290322580641</v>
      </c>
      <c r="T140" s="69">
        <f t="shared" si="65"/>
        <v>69</v>
      </c>
      <c r="U140" s="68">
        <f t="shared" si="74"/>
        <v>0</v>
      </c>
      <c r="V140" s="68">
        <v>0</v>
      </c>
      <c r="W140" s="68">
        <f t="shared" si="66"/>
        <v>320.61290322580641</v>
      </c>
      <c r="X140" s="68">
        <f t="shared" si="67"/>
        <v>3614.5806451612902</v>
      </c>
      <c r="Y140" s="68">
        <v>0</v>
      </c>
      <c r="Z140" s="68">
        <f t="shared" si="75"/>
        <v>3614.5806451612902</v>
      </c>
      <c r="AA140" s="69">
        <f t="shared" si="68"/>
        <v>275.72580645161287</v>
      </c>
      <c r="AB140" s="69">
        <f t="shared" si="69"/>
        <v>187</v>
      </c>
      <c r="AC140" s="70">
        <f t="shared" si="70"/>
        <v>0</v>
      </c>
      <c r="AD140" s="71">
        <f t="shared" si="61"/>
        <v>462.72580645161287</v>
      </c>
      <c r="AE140" s="71">
        <f t="shared" si="71"/>
        <v>4397.9193548387093</v>
      </c>
    </row>
    <row r="141" spans="1:32" x14ac:dyDescent="0.2">
      <c r="A141" s="64" t="s">
        <v>1704</v>
      </c>
      <c r="B141" s="65">
        <f t="shared" si="76"/>
        <v>136</v>
      </c>
      <c r="C141" s="65" t="s">
        <v>1642</v>
      </c>
      <c r="D141" s="65" t="s">
        <v>51</v>
      </c>
      <c r="E141" s="66" t="s">
        <v>236</v>
      </c>
      <c r="F141" s="67">
        <v>43122</v>
      </c>
      <c r="G141" s="65">
        <v>11</v>
      </c>
      <c r="H141" s="68">
        <f t="shared" si="62"/>
        <v>1774.1935483870966</v>
      </c>
      <c r="I141" s="68">
        <f t="shared" si="72"/>
        <v>0</v>
      </c>
      <c r="J141" s="68">
        <f t="shared" si="63"/>
        <v>88.709677419354833</v>
      </c>
      <c r="K141" s="68"/>
      <c r="L141" s="68">
        <f t="shared" si="73"/>
        <v>283.87096774193549</v>
      </c>
      <c r="M141" s="68"/>
      <c r="N141" s="68">
        <f t="shared" si="77"/>
        <v>1046.7741935483871</v>
      </c>
      <c r="O141" s="68">
        <v>0</v>
      </c>
      <c r="P141" s="68">
        <v>0</v>
      </c>
      <c r="Q141" s="68">
        <v>145</v>
      </c>
      <c r="R141" s="68">
        <f t="shared" si="60"/>
        <v>3338.5483870967737</v>
      </c>
      <c r="S141" s="69">
        <f t="shared" si="64"/>
        <v>212.90322580645159</v>
      </c>
      <c r="T141" s="69">
        <f t="shared" si="65"/>
        <v>59</v>
      </c>
      <c r="U141" s="68">
        <f t="shared" si="74"/>
        <v>0</v>
      </c>
      <c r="V141" s="68">
        <v>0</v>
      </c>
      <c r="W141" s="68">
        <f t="shared" si="66"/>
        <v>271.90322580645159</v>
      </c>
      <c r="X141" s="68">
        <f t="shared" si="67"/>
        <v>3066.645161290322</v>
      </c>
      <c r="Y141" s="68">
        <v>0</v>
      </c>
      <c r="Z141" s="68">
        <f t="shared" si="75"/>
        <v>3066.645161290322</v>
      </c>
      <c r="AA141" s="69">
        <f t="shared" si="68"/>
        <v>233.3064516129032</v>
      </c>
      <c r="AB141" s="69">
        <f t="shared" si="69"/>
        <v>159</v>
      </c>
      <c r="AC141" s="70">
        <f t="shared" si="70"/>
        <v>0</v>
      </c>
      <c r="AD141" s="71">
        <f t="shared" si="61"/>
        <v>392.30645161290317</v>
      </c>
      <c r="AE141" s="71">
        <f t="shared" si="71"/>
        <v>3730.8548387096771</v>
      </c>
    </row>
    <row r="142" spans="1:32" x14ac:dyDescent="0.2">
      <c r="A142" s="64" t="s">
        <v>1684</v>
      </c>
      <c r="B142" s="65">
        <f t="shared" si="76"/>
        <v>137</v>
      </c>
      <c r="C142" s="65" t="s">
        <v>1643</v>
      </c>
      <c r="D142" s="65" t="s">
        <v>51</v>
      </c>
      <c r="E142" s="66" t="s">
        <v>236</v>
      </c>
      <c r="F142" s="67">
        <v>43124</v>
      </c>
      <c r="G142" s="65">
        <v>9</v>
      </c>
      <c r="H142" s="68">
        <f t="shared" si="62"/>
        <v>1451.6129032258063</v>
      </c>
      <c r="I142" s="68">
        <f t="shared" si="72"/>
        <v>0</v>
      </c>
      <c r="J142" s="68">
        <f t="shared" si="63"/>
        <v>72.58064516129032</v>
      </c>
      <c r="K142" s="68"/>
      <c r="L142" s="68">
        <f t="shared" si="73"/>
        <v>232.25806451612902</v>
      </c>
      <c r="M142" s="68"/>
      <c r="N142" s="68">
        <f t="shared" si="77"/>
        <v>856.45161290322574</v>
      </c>
      <c r="O142" s="68">
        <v>0</v>
      </c>
      <c r="P142" s="68">
        <v>0</v>
      </c>
      <c r="Q142" s="68">
        <v>113</v>
      </c>
      <c r="R142" s="68">
        <f t="shared" si="60"/>
        <v>2725.9032258064512</v>
      </c>
      <c r="S142" s="69">
        <f t="shared" si="64"/>
        <v>174.19354838709677</v>
      </c>
      <c r="T142" s="69">
        <f t="shared" si="65"/>
        <v>48</v>
      </c>
      <c r="U142" s="68">
        <f t="shared" si="74"/>
        <v>0</v>
      </c>
      <c r="V142" s="68">
        <v>0</v>
      </c>
      <c r="W142" s="68">
        <f t="shared" si="66"/>
        <v>222.19354838709677</v>
      </c>
      <c r="X142" s="68">
        <f t="shared" si="67"/>
        <v>2503.7096774193546</v>
      </c>
      <c r="Y142" s="68">
        <v>0</v>
      </c>
      <c r="Z142" s="68">
        <f t="shared" si="75"/>
        <v>2503.7096774193546</v>
      </c>
      <c r="AA142" s="69">
        <f t="shared" si="68"/>
        <v>190.88709677419354</v>
      </c>
      <c r="AB142" s="69">
        <f t="shared" si="69"/>
        <v>130</v>
      </c>
      <c r="AC142" s="70">
        <f t="shared" si="70"/>
        <v>0</v>
      </c>
      <c r="AD142" s="71">
        <f t="shared" si="61"/>
        <v>320.88709677419354</v>
      </c>
      <c r="AE142" s="71">
        <f t="shared" si="71"/>
        <v>3046.7903225806449</v>
      </c>
    </row>
    <row r="143" spans="1:32" x14ac:dyDescent="0.2">
      <c r="A143" s="64" t="s">
        <v>1705</v>
      </c>
      <c r="B143" s="65">
        <f t="shared" si="76"/>
        <v>138</v>
      </c>
      <c r="C143" s="65" t="s">
        <v>1644</v>
      </c>
      <c r="D143" s="65" t="s">
        <v>51</v>
      </c>
      <c r="E143" s="66" t="s">
        <v>237</v>
      </c>
      <c r="F143" s="67">
        <v>43125</v>
      </c>
      <c r="G143" s="65">
        <v>8</v>
      </c>
      <c r="H143" s="68">
        <f t="shared" si="62"/>
        <v>1290.3225806451612</v>
      </c>
      <c r="I143" s="68">
        <f t="shared" si="72"/>
        <v>0</v>
      </c>
      <c r="J143" s="68">
        <f t="shared" si="63"/>
        <v>64.516129032258064</v>
      </c>
      <c r="K143" s="68"/>
      <c r="L143" s="68">
        <f t="shared" si="73"/>
        <v>206.45161290322579</v>
      </c>
      <c r="M143" s="68"/>
      <c r="N143" s="68">
        <f t="shared" si="59"/>
        <v>1276.3870967741937</v>
      </c>
      <c r="O143" s="68">
        <v>0</v>
      </c>
      <c r="P143" s="68">
        <v>0</v>
      </c>
      <c r="Q143" s="68">
        <v>0</v>
      </c>
      <c r="R143" s="68">
        <f t="shared" si="60"/>
        <v>2837.677419354839</v>
      </c>
      <c r="S143" s="69">
        <f t="shared" si="64"/>
        <v>154.83870967741933</v>
      </c>
      <c r="T143" s="69">
        <f t="shared" si="65"/>
        <v>50</v>
      </c>
      <c r="U143" s="68">
        <f t="shared" si="74"/>
        <v>0</v>
      </c>
      <c r="V143" s="68">
        <v>0</v>
      </c>
      <c r="W143" s="68">
        <f t="shared" si="66"/>
        <v>204.83870967741933</v>
      </c>
      <c r="X143" s="68">
        <f t="shared" si="67"/>
        <v>2632.8387096774195</v>
      </c>
      <c r="Y143" s="68">
        <v>0</v>
      </c>
      <c r="Z143" s="68">
        <f t="shared" si="75"/>
        <v>2632.8387096774195</v>
      </c>
      <c r="AA143" s="69">
        <f t="shared" si="68"/>
        <v>169.67741935483872</v>
      </c>
      <c r="AB143" s="69">
        <f t="shared" si="69"/>
        <v>135</v>
      </c>
      <c r="AC143" s="70">
        <f t="shared" si="70"/>
        <v>0</v>
      </c>
      <c r="AD143" s="71">
        <f t="shared" si="61"/>
        <v>304.67741935483872</v>
      </c>
      <c r="AE143" s="71">
        <f t="shared" si="71"/>
        <v>3142.3548387096776</v>
      </c>
      <c r="AF143" s="106">
        <f>2000/5</f>
        <v>400</v>
      </c>
    </row>
    <row r="144" spans="1:32" x14ac:dyDescent="0.2">
      <c r="A144" s="64" t="s">
        <v>1685</v>
      </c>
      <c r="B144" s="65">
        <f t="shared" si="76"/>
        <v>139</v>
      </c>
      <c r="C144" s="65" t="s">
        <v>1645</v>
      </c>
      <c r="D144" s="65" t="s">
        <v>51</v>
      </c>
      <c r="E144" s="66" t="s">
        <v>658</v>
      </c>
      <c r="F144" s="67">
        <v>43127</v>
      </c>
      <c r="G144" s="65">
        <v>5</v>
      </c>
      <c r="H144" s="68">
        <f t="shared" si="62"/>
        <v>806.45161290322574</v>
      </c>
      <c r="I144" s="68">
        <f t="shared" si="72"/>
        <v>0</v>
      </c>
      <c r="J144" s="68">
        <f t="shared" si="63"/>
        <v>40.322580645161288</v>
      </c>
      <c r="K144" s="68"/>
      <c r="L144" s="68">
        <f t="shared" si="73"/>
        <v>129.03225806451613</v>
      </c>
      <c r="M144" s="68"/>
      <c r="N144" s="68">
        <f t="shared" si="59"/>
        <v>797.74193548387098</v>
      </c>
      <c r="O144" s="68">
        <v>0</v>
      </c>
      <c r="P144" s="68">
        <v>0</v>
      </c>
      <c r="Q144" s="68">
        <v>81</v>
      </c>
      <c r="R144" s="68">
        <f t="shared" si="60"/>
        <v>1854.5483870967741</v>
      </c>
      <c r="S144" s="69">
        <f t="shared" si="64"/>
        <v>96.774193548387089</v>
      </c>
      <c r="T144" s="69">
        <f t="shared" si="65"/>
        <v>33</v>
      </c>
      <c r="U144" s="68">
        <f t="shared" si="74"/>
        <v>0</v>
      </c>
      <c r="V144" s="68">
        <v>0</v>
      </c>
      <c r="W144" s="68">
        <f t="shared" si="66"/>
        <v>129.77419354838707</v>
      </c>
      <c r="X144" s="68">
        <f t="shared" si="67"/>
        <v>1724.7741935483871</v>
      </c>
      <c r="Y144" s="68">
        <v>400</v>
      </c>
      <c r="Z144" s="68">
        <f t="shared" si="75"/>
        <v>1324.7741935483871</v>
      </c>
      <c r="AA144" s="69">
        <f t="shared" si="68"/>
        <v>106.04838709677419</v>
      </c>
      <c r="AB144" s="69">
        <f t="shared" si="69"/>
        <v>89</v>
      </c>
      <c r="AC144" s="70">
        <f t="shared" si="70"/>
        <v>0</v>
      </c>
      <c r="AD144" s="71">
        <f t="shared" si="61"/>
        <v>195.04838709677421</v>
      </c>
      <c r="AE144" s="71">
        <f t="shared" si="71"/>
        <v>2049.5967741935483</v>
      </c>
    </row>
    <row r="145" spans="1:31" s="62" customFormat="1" x14ac:dyDescent="0.2">
      <c r="A145" s="98" t="s">
        <v>1688</v>
      </c>
      <c r="B145" s="72">
        <f t="shared" si="76"/>
        <v>140</v>
      </c>
      <c r="C145" s="72" t="s">
        <v>1646</v>
      </c>
      <c r="D145" s="72" t="s">
        <v>51</v>
      </c>
      <c r="E145" s="99" t="s">
        <v>658</v>
      </c>
      <c r="F145" s="100">
        <v>43127</v>
      </c>
      <c r="G145" s="72">
        <v>1</v>
      </c>
      <c r="H145" s="101">
        <f t="shared" si="62"/>
        <v>161.29032258064515</v>
      </c>
      <c r="I145" s="101">
        <f t="shared" si="72"/>
        <v>0</v>
      </c>
      <c r="J145" s="101">
        <f t="shared" si="63"/>
        <v>8.064516129032258</v>
      </c>
      <c r="K145" s="101"/>
      <c r="L145" s="101">
        <f t="shared" si="73"/>
        <v>25.806451612903224</v>
      </c>
      <c r="M145" s="101"/>
      <c r="N145" s="101">
        <f t="shared" si="59"/>
        <v>159.54838709677421</v>
      </c>
      <c r="O145" s="101">
        <v>0</v>
      </c>
      <c r="P145" s="101">
        <v>0</v>
      </c>
      <c r="Q145" s="101">
        <v>32</v>
      </c>
      <c r="R145" s="101">
        <f t="shared" si="60"/>
        <v>386.70967741935488</v>
      </c>
      <c r="S145" s="102">
        <f t="shared" si="64"/>
        <v>19.354838709677416</v>
      </c>
      <c r="T145" s="102">
        <f t="shared" si="65"/>
        <v>7</v>
      </c>
      <c r="U145" s="101">
        <f t="shared" si="74"/>
        <v>0</v>
      </c>
      <c r="V145" s="101">
        <v>0</v>
      </c>
      <c r="W145" s="101">
        <f t="shared" si="66"/>
        <v>26.354838709677416</v>
      </c>
      <c r="X145" s="101">
        <f t="shared" si="67"/>
        <v>360.35483870967744</v>
      </c>
      <c r="Y145" s="101"/>
      <c r="Z145" s="101">
        <f t="shared" si="75"/>
        <v>360.35483870967744</v>
      </c>
      <c r="AA145" s="102">
        <f t="shared" si="68"/>
        <v>21.20967741935484</v>
      </c>
      <c r="AB145" s="102">
        <f t="shared" si="69"/>
        <v>19</v>
      </c>
      <c r="AC145" s="103">
        <f t="shared" si="70"/>
        <v>0</v>
      </c>
      <c r="AD145" s="104">
        <f t="shared" si="61"/>
        <v>40.20967741935484</v>
      </c>
      <c r="AE145" s="104">
        <f t="shared" si="71"/>
        <v>426.91935483870969</v>
      </c>
    </row>
    <row r="146" spans="1:31" x14ac:dyDescent="0.2">
      <c r="A146" s="64" t="s">
        <v>1687</v>
      </c>
      <c r="B146" s="65">
        <f t="shared" si="76"/>
        <v>141</v>
      </c>
      <c r="C146" s="65" t="s">
        <v>1647</v>
      </c>
      <c r="D146" s="65" t="s">
        <v>51</v>
      </c>
      <c r="E146" s="66" t="s">
        <v>658</v>
      </c>
      <c r="F146" s="67">
        <v>43127</v>
      </c>
      <c r="G146" s="65">
        <v>5</v>
      </c>
      <c r="H146" s="68">
        <f t="shared" si="62"/>
        <v>806.45161290322574</v>
      </c>
      <c r="I146" s="68">
        <f t="shared" si="72"/>
        <v>0</v>
      </c>
      <c r="J146" s="68">
        <f t="shared" si="63"/>
        <v>40.322580645161288</v>
      </c>
      <c r="K146" s="68"/>
      <c r="L146" s="68">
        <f t="shared" si="73"/>
        <v>129.03225806451613</v>
      </c>
      <c r="M146" s="68"/>
      <c r="N146" s="68">
        <f t="shared" si="59"/>
        <v>797.74193548387098</v>
      </c>
      <c r="O146" s="68">
        <v>0</v>
      </c>
      <c r="P146" s="68">
        <v>0</v>
      </c>
      <c r="Q146" s="68">
        <v>81</v>
      </c>
      <c r="R146" s="68">
        <f t="shared" si="60"/>
        <v>1854.5483870967741</v>
      </c>
      <c r="S146" s="69">
        <f t="shared" si="64"/>
        <v>96.774193548387089</v>
      </c>
      <c r="T146" s="69">
        <f t="shared" si="65"/>
        <v>33</v>
      </c>
      <c r="U146" s="68">
        <f t="shared" si="74"/>
        <v>0</v>
      </c>
      <c r="V146" s="68">
        <v>0</v>
      </c>
      <c r="W146" s="68">
        <f t="shared" si="66"/>
        <v>129.77419354838707</v>
      </c>
      <c r="X146" s="68">
        <f t="shared" si="67"/>
        <v>1724.7741935483871</v>
      </c>
      <c r="Y146" s="68">
        <v>400</v>
      </c>
      <c r="Z146" s="68">
        <f t="shared" si="75"/>
        <v>1324.7741935483871</v>
      </c>
      <c r="AA146" s="69">
        <f t="shared" si="68"/>
        <v>106.04838709677419</v>
      </c>
      <c r="AB146" s="69">
        <f t="shared" si="69"/>
        <v>89</v>
      </c>
      <c r="AC146" s="70">
        <f t="shared" si="70"/>
        <v>0</v>
      </c>
      <c r="AD146" s="71">
        <f t="shared" si="61"/>
        <v>195.04838709677421</v>
      </c>
      <c r="AE146" s="71">
        <f t="shared" si="71"/>
        <v>2049.5967741935483</v>
      </c>
    </row>
    <row r="147" spans="1:31" x14ac:dyDescent="0.2">
      <c r="A147" s="64" t="s">
        <v>1686</v>
      </c>
      <c r="B147" s="65">
        <f t="shared" si="76"/>
        <v>142</v>
      </c>
      <c r="C147" s="65" t="s">
        <v>1648</v>
      </c>
      <c r="D147" s="65" t="s">
        <v>51</v>
      </c>
      <c r="E147" s="66" t="s">
        <v>658</v>
      </c>
      <c r="F147" s="67">
        <v>43127</v>
      </c>
      <c r="G147" s="65">
        <v>5</v>
      </c>
      <c r="H147" s="68">
        <f t="shared" si="62"/>
        <v>806.45161290322574</v>
      </c>
      <c r="I147" s="68">
        <f t="shared" si="72"/>
        <v>0</v>
      </c>
      <c r="J147" s="68">
        <f t="shared" si="63"/>
        <v>40.322580645161288</v>
      </c>
      <c r="K147" s="68"/>
      <c r="L147" s="68">
        <f t="shared" si="73"/>
        <v>129.03225806451613</v>
      </c>
      <c r="M147" s="68"/>
      <c r="N147" s="68">
        <f t="shared" si="59"/>
        <v>797.74193548387098</v>
      </c>
      <c r="O147" s="68">
        <v>0</v>
      </c>
      <c r="P147" s="68">
        <v>0</v>
      </c>
      <c r="Q147" s="68">
        <v>81</v>
      </c>
      <c r="R147" s="68">
        <f t="shared" si="60"/>
        <v>1854.5483870967741</v>
      </c>
      <c r="S147" s="69">
        <f t="shared" si="64"/>
        <v>96.774193548387089</v>
      </c>
      <c r="T147" s="69">
        <f t="shared" si="65"/>
        <v>33</v>
      </c>
      <c r="U147" s="68">
        <f t="shared" si="74"/>
        <v>0</v>
      </c>
      <c r="V147" s="68">
        <v>0</v>
      </c>
      <c r="W147" s="68">
        <f t="shared" si="66"/>
        <v>129.77419354838707</v>
      </c>
      <c r="X147" s="68">
        <f t="shared" si="67"/>
        <v>1724.7741935483871</v>
      </c>
      <c r="Y147" s="68">
        <v>400</v>
      </c>
      <c r="Z147" s="68">
        <f t="shared" si="75"/>
        <v>1324.7741935483871</v>
      </c>
      <c r="AA147" s="69">
        <f t="shared" si="68"/>
        <v>106.04838709677419</v>
      </c>
      <c r="AB147" s="69">
        <f t="shared" si="69"/>
        <v>89</v>
      </c>
      <c r="AC147" s="70">
        <f t="shared" si="70"/>
        <v>0</v>
      </c>
      <c r="AD147" s="71">
        <f t="shared" si="61"/>
        <v>195.04838709677421</v>
      </c>
      <c r="AE147" s="71">
        <f t="shared" si="71"/>
        <v>2049.5967741935483</v>
      </c>
    </row>
    <row r="148" spans="1:31" x14ac:dyDescent="0.2">
      <c r="A148" s="64" t="s">
        <v>1689</v>
      </c>
      <c r="B148" s="65">
        <f t="shared" si="76"/>
        <v>143</v>
      </c>
      <c r="C148" s="65" t="s">
        <v>1649</v>
      </c>
      <c r="D148" s="65" t="s">
        <v>51</v>
      </c>
      <c r="E148" s="66" t="s">
        <v>658</v>
      </c>
      <c r="F148" s="67">
        <v>43127</v>
      </c>
      <c r="G148" s="65">
        <v>5</v>
      </c>
      <c r="H148" s="68">
        <f t="shared" si="62"/>
        <v>806.45161290322574</v>
      </c>
      <c r="I148" s="68">
        <f t="shared" si="72"/>
        <v>0</v>
      </c>
      <c r="J148" s="68">
        <f t="shared" si="63"/>
        <v>40.322580645161288</v>
      </c>
      <c r="K148" s="68"/>
      <c r="L148" s="68">
        <f t="shared" si="73"/>
        <v>129.03225806451613</v>
      </c>
      <c r="M148" s="68"/>
      <c r="N148" s="68">
        <f t="shared" si="59"/>
        <v>797.74193548387098</v>
      </c>
      <c r="O148" s="68">
        <v>0</v>
      </c>
      <c r="P148" s="68">
        <v>0</v>
      </c>
      <c r="Q148" s="68">
        <v>81</v>
      </c>
      <c r="R148" s="68">
        <f t="shared" si="60"/>
        <v>1854.5483870967741</v>
      </c>
      <c r="S148" s="69">
        <f t="shared" si="64"/>
        <v>96.774193548387089</v>
      </c>
      <c r="T148" s="69">
        <f t="shared" si="65"/>
        <v>33</v>
      </c>
      <c r="U148" s="68">
        <f t="shared" si="74"/>
        <v>0</v>
      </c>
      <c r="V148" s="68">
        <v>0</v>
      </c>
      <c r="W148" s="68">
        <f t="shared" si="66"/>
        <v>129.77419354838707</v>
      </c>
      <c r="X148" s="68">
        <f t="shared" si="67"/>
        <v>1724.7741935483871</v>
      </c>
      <c r="Y148" s="68">
        <v>400</v>
      </c>
      <c r="Z148" s="68">
        <f t="shared" si="75"/>
        <v>1324.7741935483871</v>
      </c>
      <c r="AA148" s="69">
        <f t="shared" si="68"/>
        <v>106.04838709677419</v>
      </c>
      <c r="AB148" s="69">
        <f t="shared" si="69"/>
        <v>89</v>
      </c>
      <c r="AC148" s="70">
        <f t="shared" si="70"/>
        <v>0</v>
      </c>
      <c r="AD148" s="71">
        <f t="shared" si="61"/>
        <v>195.04838709677421</v>
      </c>
      <c r="AE148" s="71">
        <f t="shared" si="71"/>
        <v>2049.5967741935483</v>
      </c>
    </row>
    <row r="149" spans="1:31" x14ac:dyDescent="0.2">
      <c r="A149" s="64" t="s">
        <v>1690</v>
      </c>
      <c r="B149" s="65">
        <f t="shared" si="76"/>
        <v>144</v>
      </c>
      <c r="C149" s="72" t="s">
        <v>1650</v>
      </c>
      <c r="D149" s="65" t="s">
        <v>51</v>
      </c>
      <c r="E149" s="66" t="s">
        <v>658</v>
      </c>
      <c r="F149" s="67">
        <v>43127</v>
      </c>
      <c r="G149" s="65">
        <v>3</v>
      </c>
      <c r="H149" s="68">
        <f t="shared" si="62"/>
        <v>483.87096774193549</v>
      </c>
      <c r="I149" s="68">
        <f t="shared" si="72"/>
        <v>0</v>
      </c>
      <c r="J149" s="68">
        <f t="shared" si="63"/>
        <v>24.193548387096776</v>
      </c>
      <c r="K149" s="68"/>
      <c r="L149" s="68">
        <f t="shared" si="73"/>
        <v>77.419354838709666</v>
      </c>
      <c r="M149" s="68"/>
      <c r="N149" s="68">
        <f t="shared" si="59"/>
        <v>478.64516129032262</v>
      </c>
      <c r="O149" s="68">
        <v>0</v>
      </c>
      <c r="P149" s="68">
        <v>0</v>
      </c>
      <c r="Q149" s="68">
        <v>48</v>
      </c>
      <c r="R149" s="68">
        <f t="shared" si="60"/>
        <v>1112.1290322580646</v>
      </c>
      <c r="S149" s="69">
        <f t="shared" si="64"/>
        <v>58.064516129032256</v>
      </c>
      <c r="T149" s="69">
        <f t="shared" si="65"/>
        <v>20</v>
      </c>
      <c r="U149" s="68">
        <f t="shared" si="74"/>
        <v>0</v>
      </c>
      <c r="V149" s="68">
        <v>0</v>
      </c>
      <c r="W149" s="68">
        <f t="shared" si="66"/>
        <v>78.064516129032256</v>
      </c>
      <c r="X149" s="68">
        <f t="shared" si="67"/>
        <v>1034.0645161290324</v>
      </c>
      <c r="Y149" s="68">
        <v>400</v>
      </c>
      <c r="Z149" s="68">
        <f t="shared" si="75"/>
        <v>634.06451612903243</v>
      </c>
      <c r="AA149" s="69">
        <f t="shared" si="68"/>
        <v>63.62903225806452</v>
      </c>
      <c r="AB149" s="69">
        <f t="shared" si="69"/>
        <v>53</v>
      </c>
      <c r="AC149" s="70">
        <f t="shared" si="70"/>
        <v>0</v>
      </c>
      <c r="AD149" s="71">
        <f t="shared" si="61"/>
        <v>116.62903225806451</v>
      </c>
      <c r="AE149" s="71">
        <f t="shared" si="71"/>
        <v>1228.7580645161293</v>
      </c>
    </row>
    <row r="150" spans="1:31" x14ac:dyDescent="0.2">
      <c r="A150" s="64" t="s">
        <v>1691</v>
      </c>
      <c r="B150" s="65">
        <f t="shared" si="76"/>
        <v>145</v>
      </c>
      <c r="C150" s="65" t="s">
        <v>1651</v>
      </c>
      <c r="D150" s="65" t="s">
        <v>51</v>
      </c>
      <c r="E150" s="66" t="s">
        <v>658</v>
      </c>
      <c r="F150" s="67">
        <v>43127</v>
      </c>
      <c r="G150" s="65">
        <v>5</v>
      </c>
      <c r="H150" s="68">
        <f t="shared" si="62"/>
        <v>806.45161290322574</v>
      </c>
      <c r="I150" s="68">
        <f t="shared" si="72"/>
        <v>0</v>
      </c>
      <c r="J150" s="68">
        <f t="shared" si="63"/>
        <v>40.322580645161288</v>
      </c>
      <c r="K150" s="68"/>
      <c r="L150" s="68">
        <f t="shared" si="73"/>
        <v>129.03225806451613</v>
      </c>
      <c r="M150" s="68"/>
      <c r="N150" s="68">
        <f t="shared" si="59"/>
        <v>797.74193548387098</v>
      </c>
      <c r="O150" s="68">
        <v>0</v>
      </c>
      <c r="P150" s="68">
        <v>0</v>
      </c>
      <c r="Q150" s="68">
        <v>81</v>
      </c>
      <c r="R150" s="68">
        <f t="shared" si="60"/>
        <v>1854.5483870967741</v>
      </c>
      <c r="S150" s="69">
        <f t="shared" si="64"/>
        <v>96.774193548387089</v>
      </c>
      <c r="T150" s="69">
        <f t="shared" si="65"/>
        <v>33</v>
      </c>
      <c r="U150" s="68">
        <f t="shared" si="74"/>
        <v>0</v>
      </c>
      <c r="V150" s="68">
        <v>0</v>
      </c>
      <c r="W150" s="68">
        <f t="shared" si="66"/>
        <v>129.77419354838707</v>
      </c>
      <c r="X150" s="68">
        <f t="shared" si="67"/>
        <v>1724.7741935483871</v>
      </c>
      <c r="Y150" s="68">
        <v>0</v>
      </c>
      <c r="Z150" s="68">
        <f t="shared" si="75"/>
        <v>1724.7741935483871</v>
      </c>
      <c r="AA150" s="69">
        <f t="shared" si="68"/>
        <v>106.04838709677419</v>
      </c>
      <c r="AB150" s="69">
        <f t="shared" si="69"/>
        <v>89</v>
      </c>
      <c r="AC150" s="70">
        <f t="shared" si="70"/>
        <v>0</v>
      </c>
      <c r="AD150" s="71">
        <f t="shared" si="61"/>
        <v>195.04838709677421</v>
      </c>
      <c r="AE150" s="71">
        <f t="shared" si="71"/>
        <v>2049.5967741935483</v>
      </c>
    </row>
    <row r="151" spans="1:31" x14ac:dyDescent="0.2">
      <c r="A151" s="64" t="s">
        <v>1692</v>
      </c>
      <c r="B151" s="65">
        <f t="shared" si="76"/>
        <v>146</v>
      </c>
      <c r="C151" s="65" t="s">
        <v>1652</v>
      </c>
      <c r="D151" s="65" t="s">
        <v>51</v>
      </c>
      <c r="E151" s="66" t="s">
        <v>236</v>
      </c>
      <c r="F151" s="67">
        <v>43129</v>
      </c>
      <c r="G151" s="65">
        <v>3</v>
      </c>
      <c r="H151" s="68">
        <f t="shared" si="62"/>
        <v>483.87096774193549</v>
      </c>
      <c r="I151" s="68">
        <f t="shared" si="72"/>
        <v>0</v>
      </c>
      <c r="J151" s="68">
        <f t="shared" si="63"/>
        <v>24.193548387096776</v>
      </c>
      <c r="K151" s="68"/>
      <c r="L151" s="68">
        <f t="shared" si="73"/>
        <v>77.419354838709666</v>
      </c>
      <c r="M151" s="68"/>
      <c r="N151" s="68">
        <f t="shared" ref="N151" si="78">((950+2000)/G$3)*G151</f>
        <v>285.48387096774195</v>
      </c>
      <c r="O151" s="68">
        <v>0</v>
      </c>
      <c r="P151" s="68">
        <v>0</v>
      </c>
      <c r="Q151" s="68">
        <v>0</v>
      </c>
      <c r="R151" s="68">
        <f t="shared" si="60"/>
        <v>870.9677419354839</v>
      </c>
      <c r="S151" s="69">
        <f t="shared" si="64"/>
        <v>58.064516129032256</v>
      </c>
      <c r="T151" s="69">
        <f t="shared" si="65"/>
        <v>16</v>
      </c>
      <c r="U151" s="68">
        <f t="shared" si="74"/>
        <v>0</v>
      </c>
      <c r="V151" s="68">
        <v>0</v>
      </c>
      <c r="W151" s="68">
        <f t="shared" si="66"/>
        <v>74.064516129032256</v>
      </c>
      <c r="X151" s="68">
        <f t="shared" si="67"/>
        <v>796.9032258064517</v>
      </c>
      <c r="Y151" s="68">
        <v>0</v>
      </c>
      <c r="Z151" s="68">
        <f t="shared" si="75"/>
        <v>796.9032258064517</v>
      </c>
      <c r="AA151" s="69">
        <f t="shared" si="68"/>
        <v>63.62903225806452</v>
      </c>
      <c r="AB151" s="69">
        <f t="shared" si="69"/>
        <v>42</v>
      </c>
      <c r="AC151" s="70">
        <f t="shared" si="70"/>
        <v>0</v>
      </c>
      <c r="AD151" s="71">
        <f t="shared" si="61"/>
        <v>105.62903225806451</v>
      </c>
      <c r="AE151" s="71">
        <f t="shared" si="71"/>
        <v>976.59677419354841</v>
      </c>
    </row>
    <row r="152" spans="1:31" s="62" customFormat="1" x14ac:dyDescent="0.2">
      <c r="A152" s="72"/>
      <c r="B152" s="72"/>
      <c r="C152" s="72"/>
      <c r="D152" s="72"/>
      <c r="E152" s="72"/>
      <c r="F152" s="72"/>
      <c r="G152" s="73">
        <f t="shared" ref="G152:AE152" si="79">SUM(G6:G151)</f>
        <v>4117</v>
      </c>
      <c r="H152" s="73">
        <f t="shared" si="79"/>
        <v>664032.25806451601</v>
      </c>
      <c r="I152" s="73">
        <f t="shared" si="79"/>
        <v>0</v>
      </c>
      <c r="J152" s="73">
        <f t="shared" si="79"/>
        <v>33201.612903225796</v>
      </c>
      <c r="K152" s="73">
        <f t="shared" si="79"/>
        <v>0</v>
      </c>
      <c r="L152" s="73">
        <f t="shared" si="79"/>
        <v>106245.16129032253</v>
      </c>
      <c r="M152" s="73">
        <f t="shared" si="79"/>
        <v>0</v>
      </c>
      <c r="N152" s="73">
        <f t="shared" si="79"/>
        <v>662477.09677419381</v>
      </c>
      <c r="O152" s="73">
        <f t="shared" si="79"/>
        <v>0</v>
      </c>
      <c r="P152" s="73">
        <f t="shared" si="79"/>
        <v>0</v>
      </c>
      <c r="Q152" s="73">
        <f t="shared" si="79"/>
        <v>48210</v>
      </c>
      <c r="R152" s="73">
        <f t="shared" si="79"/>
        <v>1514166.1290322577</v>
      </c>
      <c r="S152" s="73">
        <f t="shared" si="79"/>
        <v>79683.870967741939</v>
      </c>
      <c r="T152" s="73">
        <f t="shared" si="79"/>
        <v>26568</v>
      </c>
      <c r="U152" s="73">
        <f t="shared" si="79"/>
        <v>22225</v>
      </c>
      <c r="V152" s="73">
        <f t="shared" si="79"/>
        <v>0</v>
      </c>
      <c r="W152" s="73">
        <f t="shared" si="79"/>
        <v>128476.87096774185</v>
      </c>
      <c r="X152" s="73">
        <f t="shared" si="79"/>
        <v>1385689.2580645171</v>
      </c>
      <c r="Y152" s="73">
        <f t="shared" si="79"/>
        <v>7610</v>
      </c>
      <c r="Z152" s="73">
        <f t="shared" si="79"/>
        <v>1378079.2580645171</v>
      </c>
      <c r="AA152" s="73">
        <f t="shared" si="79"/>
        <v>87320.241935483908</v>
      </c>
      <c r="AB152" s="73">
        <f t="shared" si="79"/>
        <v>71996</v>
      </c>
      <c r="AC152" s="73">
        <f t="shared" si="79"/>
        <v>0</v>
      </c>
      <c r="AD152" s="73">
        <f t="shared" si="79"/>
        <v>159316.24193548388</v>
      </c>
      <c r="AE152" s="73">
        <f t="shared" si="79"/>
        <v>1673482.3709677421</v>
      </c>
    </row>
    <row r="155" spans="1:31" x14ac:dyDescent="0.2">
      <c r="G155" s="122">
        <v>4117</v>
      </c>
      <c r="H155" s="111">
        <v>664032.25</v>
      </c>
      <c r="J155" s="111">
        <v>33201.57</v>
      </c>
      <c r="L155" s="111">
        <v>106245.11</v>
      </c>
      <c r="N155" s="111">
        <v>662477.07999999996</v>
      </c>
      <c r="Q155" s="111">
        <v>48210</v>
      </c>
      <c r="R155" s="111">
        <v>1514166.01</v>
      </c>
      <c r="S155" s="112">
        <v>79689</v>
      </c>
      <c r="T155" s="112">
        <v>26568</v>
      </c>
      <c r="U155" s="112">
        <v>22225</v>
      </c>
      <c r="Y155" s="107">
        <f>1000+6620</f>
        <v>7620</v>
      </c>
      <c r="Z155" s="112">
        <v>1378059</v>
      </c>
    </row>
    <row r="157" spans="1:31" x14ac:dyDescent="0.2">
      <c r="G157" s="63">
        <f>G152-G155</f>
        <v>0</v>
      </c>
      <c r="H157" s="63">
        <f t="shared" ref="H157:Z157" si="80">H152-H155</f>
        <v>8.0645160051062703E-3</v>
      </c>
      <c r="I157" s="63">
        <f t="shared" si="80"/>
        <v>0</v>
      </c>
      <c r="J157" s="63">
        <f t="shared" si="80"/>
        <v>4.2903225796180777E-2</v>
      </c>
      <c r="K157" s="63">
        <f t="shared" si="80"/>
        <v>0</v>
      </c>
      <c r="L157" s="63">
        <f t="shared" si="80"/>
        <v>5.1290322531713173E-2</v>
      </c>
      <c r="M157" s="63">
        <f t="shared" si="80"/>
        <v>0</v>
      </c>
      <c r="N157" s="63">
        <f t="shared" si="80"/>
        <v>1.6774193849414587E-2</v>
      </c>
      <c r="O157" s="63">
        <f t="shared" si="80"/>
        <v>0</v>
      </c>
      <c r="P157" s="63">
        <f t="shared" si="80"/>
        <v>0</v>
      </c>
      <c r="Q157" s="63">
        <f t="shared" si="80"/>
        <v>0</v>
      </c>
      <c r="R157" s="63">
        <f t="shared" si="80"/>
        <v>0.1190322577022016</v>
      </c>
      <c r="S157" s="63">
        <f t="shared" si="80"/>
        <v>-5.1290322580607608</v>
      </c>
      <c r="T157" s="63">
        <f t="shared" si="80"/>
        <v>0</v>
      </c>
      <c r="U157" s="63">
        <f t="shared" si="80"/>
        <v>0</v>
      </c>
      <c r="V157" s="63">
        <f t="shared" si="80"/>
        <v>0</v>
      </c>
      <c r="W157" s="63"/>
      <c r="X157" s="63"/>
      <c r="Y157" s="63">
        <f t="shared" si="80"/>
        <v>-10</v>
      </c>
      <c r="Z157" s="63">
        <f t="shared" si="80"/>
        <v>20.258064517052844</v>
      </c>
    </row>
    <row r="1048038" spans="3:3" x14ac:dyDescent="0.2">
      <c r="C1048038" s="106" t="str">
        <f>UPPER(C1048032)</f>
        <v/>
      </c>
    </row>
  </sheetData>
  <mergeCells count="3">
    <mergeCell ref="H4:N4"/>
    <mergeCell ref="S4:V4"/>
    <mergeCell ref="AA4:A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07"/>
  <sheetViews>
    <sheetView workbookViewId="0">
      <pane xSplit="9" ySplit="5" topLeftCell="J267" activePane="bottomRight" state="frozen"/>
      <selection pane="topRight" activeCell="H1" sqref="H1"/>
      <selection pane="bottomLeft" activeCell="A6" sqref="A6"/>
      <selection pane="bottomRight" activeCell="E12" sqref="E12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30.28515625" style="11" customWidth="1"/>
    <col min="4" max="4" width="7" style="106" customWidth="1"/>
    <col min="5" max="5" width="10.28515625" style="11" customWidth="1"/>
    <col min="6" max="6" width="11.42578125" style="11" customWidth="1"/>
    <col min="7" max="7" width="10.7109375" style="11" bestFit="1" customWidth="1"/>
    <col min="8" max="8" width="10.7109375" style="61" customWidth="1"/>
    <col min="9" max="9" width="8" style="11" customWidth="1"/>
    <col min="10" max="10" width="9.28515625" style="13" customWidth="1"/>
    <col min="11" max="11" width="5.28515625" style="13" hidden="1" customWidth="1"/>
    <col min="12" max="12" width="8.5703125" style="13" customWidth="1"/>
    <col min="13" max="13" width="12.42578125" style="13" hidden="1" customWidth="1"/>
    <col min="14" max="14" width="8.7109375" style="13" customWidth="1"/>
    <col min="15" max="15" width="13.5703125" style="13" hidden="1" customWidth="1"/>
    <col min="16" max="16" width="9.140625" style="13" customWidth="1"/>
    <col min="17" max="17" width="7.7109375" style="13" customWidth="1"/>
    <col min="18" max="18" width="8.7109375" style="13" hidden="1" customWidth="1"/>
    <col min="19" max="19" width="10.85546875" style="13" customWidth="1"/>
    <col min="20" max="20" width="7.85546875" style="13" customWidth="1"/>
    <col min="21" max="21" width="8.5703125" style="13" customWidth="1"/>
    <col min="22" max="22" width="7.140625" style="13" customWidth="1"/>
    <col min="23" max="23" width="7" style="13" bestFit="1" customWidth="1"/>
    <col min="24" max="24" width="9.7109375" style="13" bestFit="1" customWidth="1"/>
    <col min="25" max="25" width="9" style="13" customWidth="1"/>
    <col min="26" max="26" width="9.7109375" style="13" hidden="1" customWidth="1"/>
    <col min="27" max="27" width="9.42578125" style="13" hidden="1" customWidth="1"/>
    <col min="28" max="28" width="9.85546875" style="11" customWidth="1"/>
    <col min="29" max="29" width="8.85546875" style="11" customWidth="1"/>
    <col min="30" max="30" width="7.42578125" style="11" bestFit="1" customWidth="1"/>
    <col min="31" max="31" width="8.42578125" style="11" customWidth="1"/>
    <col min="32" max="32" width="9.5703125" style="11" customWidth="1"/>
    <col min="33" max="16384" width="9.140625" style="11"/>
  </cols>
  <sheetData>
    <row r="1" spans="1:32" ht="13.5" x14ac:dyDescent="0.25">
      <c r="A1" s="106"/>
      <c r="B1" s="105"/>
      <c r="C1" s="106" t="s">
        <v>24</v>
      </c>
      <c r="E1" s="106"/>
      <c r="F1" s="106"/>
      <c r="G1" s="106"/>
      <c r="H1" s="106"/>
      <c r="I1" s="106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6"/>
      <c r="AC1" s="106"/>
      <c r="AD1" s="106"/>
      <c r="AE1" s="106"/>
      <c r="AF1" s="106"/>
    </row>
    <row r="2" spans="1:32" x14ac:dyDescent="0.2">
      <c r="A2" s="106"/>
      <c r="B2" s="109"/>
      <c r="C2" s="106" t="s">
        <v>1419</v>
      </c>
      <c r="E2" s="106"/>
      <c r="F2" s="106"/>
      <c r="G2" s="106"/>
      <c r="H2" s="106"/>
      <c r="I2" s="106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6"/>
      <c r="AC2" s="106"/>
      <c r="AD2" s="106"/>
      <c r="AE2" s="106"/>
      <c r="AF2" s="106"/>
    </row>
    <row r="3" spans="1:32" ht="13.5" thickBot="1" x14ac:dyDescent="0.25">
      <c r="A3" s="106"/>
      <c r="B3" s="106"/>
      <c r="C3" s="106"/>
      <c r="E3" s="106"/>
      <c r="F3" s="106"/>
      <c r="G3" s="106"/>
      <c r="H3" s="106"/>
      <c r="I3" s="108">
        <v>31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6"/>
      <c r="AC3" s="106"/>
      <c r="AD3" s="106"/>
      <c r="AE3" s="106"/>
      <c r="AF3" s="106"/>
    </row>
    <row r="4" spans="1:32" ht="15" customHeight="1" x14ac:dyDescent="0.25">
      <c r="A4" s="81" t="s">
        <v>28</v>
      </c>
      <c r="B4" s="82" t="s">
        <v>26</v>
      </c>
      <c r="C4" s="83" t="s">
        <v>0</v>
      </c>
      <c r="D4" s="81" t="s">
        <v>28</v>
      </c>
      <c r="E4" s="83" t="s">
        <v>49</v>
      </c>
      <c r="F4" s="83" t="s">
        <v>2</v>
      </c>
      <c r="G4" s="84" t="s">
        <v>1</v>
      </c>
      <c r="H4" s="84"/>
      <c r="I4" s="82" t="s">
        <v>3</v>
      </c>
      <c r="J4" s="162" t="s">
        <v>4</v>
      </c>
      <c r="K4" s="163"/>
      <c r="L4" s="163"/>
      <c r="M4" s="163"/>
      <c r="N4" s="163"/>
      <c r="O4" s="163"/>
      <c r="P4" s="164"/>
      <c r="Q4" s="85"/>
      <c r="R4" s="85"/>
      <c r="S4" s="85" t="s">
        <v>5</v>
      </c>
      <c r="T4" s="162" t="s">
        <v>7</v>
      </c>
      <c r="U4" s="163"/>
      <c r="V4" s="163"/>
      <c r="W4" s="164"/>
      <c r="X4" s="85" t="s">
        <v>5</v>
      </c>
      <c r="Y4" s="85" t="s">
        <v>8</v>
      </c>
      <c r="Z4" s="82"/>
      <c r="AA4" s="85" t="s">
        <v>20</v>
      </c>
      <c r="AB4" s="165" t="s">
        <v>9</v>
      </c>
      <c r="AC4" s="166"/>
      <c r="AD4" s="167"/>
      <c r="AE4" s="84" t="s">
        <v>5</v>
      </c>
      <c r="AF4" s="86" t="s">
        <v>10</v>
      </c>
    </row>
    <row r="5" spans="1:32" ht="14.25" thickBot="1" x14ac:dyDescent="0.3">
      <c r="A5" s="87" t="s">
        <v>29</v>
      </c>
      <c r="B5" s="88" t="s">
        <v>27</v>
      </c>
      <c r="C5" s="89" t="s">
        <v>11</v>
      </c>
      <c r="D5" s="87" t="s">
        <v>29</v>
      </c>
      <c r="E5" s="89"/>
      <c r="F5" s="89"/>
      <c r="G5" s="90"/>
      <c r="H5" s="90"/>
      <c r="I5" s="91" t="s">
        <v>12</v>
      </c>
      <c r="J5" s="92" t="s">
        <v>13</v>
      </c>
      <c r="K5" s="92" t="s">
        <v>14</v>
      </c>
      <c r="L5" s="92" t="s">
        <v>15</v>
      </c>
      <c r="M5" s="88" t="s">
        <v>97</v>
      </c>
      <c r="N5" s="92" t="s">
        <v>6</v>
      </c>
      <c r="O5" s="88" t="s">
        <v>98</v>
      </c>
      <c r="P5" s="92" t="s">
        <v>22</v>
      </c>
      <c r="Q5" s="88" t="s">
        <v>1497</v>
      </c>
      <c r="R5" s="88" t="s">
        <v>1418</v>
      </c>
      <c r="S5" s="93" t="s">
        <v>16</v>
      </c>
      <c r="T5" s="93" t="s">
        <v>17</v>
      </c>
      <c r="U5" s="93" t="s">
        <v>18</v>
      </c>
      <c r="V5" s="93" t="s">
        <v>19</v>
      </c>
      <c r="W5" s="88" t="s">
        <v>31</v>
      </c>
      <c r="X5" s="93" t="s">
        <v>16</v>
      </c>
      <c r="Y5" s="93" t="s">
        <v>20</v>
      </c>
      <c r="Z5" s="94" t="s">
        <v>21</v>
      </c>
      <c r="AA5" s="93" t="s">
        <v>288</v>
      </c>
      <c r="AB5" s="90" t="s">
        <v>17</v>
      </c>
      <c r="AC5" s="90" t="s">
        <v>18</v>
      </c>
      <c r="AD5" s="95" t="s">
        <v>31</v>
      </c>
      <c r="AE5" s="95" t="s">
        <v>16</v>
      </c>
      <c r="AF5" s="96" t="s">
        <v>20</v>
      </c>
    </row>
    <row r="6" spans="1:32" x14ac:dyDescent="0.2">
      <c r="A6" s="74" t="s">
        <v>36</v>
      </c>
      <c r="B6" s="75">
        <v>1</v>
      </c>
      <c r="C6" s="75" t="s">
        <v>35</v>
      </c>
      <c r="D6" s="74" t="s">
        <v>36</v>
      </c>
      <c r="E6" s="97" t="s">
        <v>50</v>
      </c>
      <c r="F6" s="75" t="s">
        <v>234</v>
      </c>
      <c r="G6" s="76">
        <v>42900</v>
      </c>
      <c r="H6" s="76"/>
      <c r="I6" s="75">
        <v>14</v>
      </c>
      <c r="J6" s="77">
        <f t="shared" ref="J6:J37" si="0">(5000/I$3)*I6</f>
        <v>2258.0645161290322</v>
      </c>
      <c r="K6" s="77">
        <f t="shared" ref="K6:K69" si="1">((0)/I$3)*I6</f>
        <v>0</v>
      </c>
      <c r="L6" s="77">
        <f t="shared" ref="L6:L69" si="2">(J6+K6)*5%</f>
        <v>112.90322580645162</v>
      </c>
      <c r="M6" s="77"/>
      <c r="N6" s="77">
        <f>((800)/I$3)*I6</f>
        <v>361.29032258064512</v>
      </c>
      <c r="O6" s="77"/>
      <c r="P6" s="77">
        <f>((1950+1441-178+1017+2240)/I$3)*I6</f>
        <v>2921.9354838709678</v>
      </c>
      <c r="Q6" s="77">
        <v>0</v>
      </c>
      <c r="R6" s="77">
        <v>0</v>
      </c>
      <c r="S6" s="77">
        <f t="shared" ref="S6:S69" si="3">SUM(J6:R6)</f>
        <v>5654.1935483870966</v>
      </c>
      <c r="T6" s="78">
        <f t="shared" ref="T6:T69" si="4">(J6+K6)*12%</f>
        <v>270.96774193548384</v>
      </c>
      <c r="U6" s="78">
        <f>ROUNDUP((S6*1.75%),0)</f>
        <v>99</v>
      </c>
      <c r="V6" s="77">
        <v>0</v>
      </c>
      <c r="W6" s="77">
        <v>12</v>
      </c>
      <c r="X6" s="77">
        <f t="shared" ref="X6:X69" si="5">SUM(T6:W6)</f>
        <v>381.96774193548384</v>
      </c>
      <c r="Y6" s="77">
        <f t="shared" ref="Y6:Y69" si="6">S6-X6</f>
        <v>5272.2258064516127</v>
      </c>
      <c r="Z6" s="77"/>
      <c r="AA6" s="77">
        <f t="shared" ref="AA6:AA69" si="7">Y6-Z6</f>
        <v>5272.2258064516127</v>
      </c>
      <c r="AB6" s="78">
        <f t="shared" ref="AB6:AB69" si="8">(J6+K6)*13.15%</f>
        <v>296.93548387096774</v>
      </c>
      <c r="AC6" s="78">
        <f t="shared" ref="AC6:AC69" si="9">CEILING((S6)*4.75%,1)</f>
        <v>269</v>
      </c>
      <c r="AD6" s="79">
        <f t="shared" ref="AD6:AD69" si="10">W6*3</f>
        <v>36</v>
      </c>
      <c r="AE6" s="80">
        <f t="shared" ref="AE6:AE69" si="11">SUM(AB6:AD6)</f>
        <v>601.9354838709678</v>
      </c>
      <c r="AF6" s="80">
        <f t="shared" ref="AF6:AF69" si="12">S6+AE6</f>
        <v>6256.1290322580644</v>
      </c>
    </row>
    <row r="7" spans="1:32" x14ac:dyDescent="0.2">
      <c r="A7" s="64" t="s">
        <v>37</v>
      </c>
      <c r="B7" s="65">
        <v>2</v>
      </c>
      <c r="C7" s="65" t="s">
        <v>33</v>
      </c>
      <c r="D7" s="64" t="s">
        <v>37</v>
      </c>
      <c r="E7" s="66" t="s">
        <v>50</v>
      </c>
      <c r="F7" s="66" t="s">
        <v>235</v>
      </c>
      <c r="G7" s="67">
        <v>42195</v>
      </c>
      <c r="H7" s="67"/>
      <c r="I7" s="65">
        <v>32</v>
      </c>
      <c r="J7" s="68">
        <f t="shared" si="0"/>
        <v>5161.2903225806449</v>
      </c>
      <c r="K7" s="68">
        <f t="shared" si="1"/>
        <v>0</v>
      </c>
      <c r="L7" s="68">
        <f t="shared" si="2"/>
        <v>258.06451612903226</v>
      </c>
      <c r="M7" s="68"/>
      <c r="N7" s="68">
        <f>((800)/I$3)*I7</f>
        <v>825.80645161290317</v>
      </c>
      <c r="O7" s="68"/>
      <c r="P7" s="68">
        <f>((1950+2484+509+1883)/I$3)*I7</f>
        <v>7046.1935483870966</v>
      </c>
      <c r="Q7" s="68">
        <v>0</v>
      </c>
      <c r="R7" s="68">
        <v>0</v>
      </c>
      <c r="S7" s="68">
        <f t="shared" si="3"/>
        <v>13291.354838709678</v>
      </c>
      <c r="T7" s="69">
        <f t="shared" si="4"/>
        <v>619.35483870967732</v>
      </c>
      <c r="U7" s="69">
        <f>ROUNDUP(((S7-Q7)*1.75%),0)</f>
        <v>233</v>
      </c>
      <c r="V7" s="68">
        <v>0</v>
      </c>
      <c r="W7" s="68">
        <v>12</v>
      </c>
      <c r="X7" s="68">
        <f t="shared" si="5"/>
        <v>864.35483870967732</v>
      </c>
      <c r="Y7" s="68">
        <f t="shared" si="6"/>
        <v>12427</v>
      </c>
      <c r="Z7" s="68"/>
      <c r="AA7" s="68">
        <f t="shared" si="7"/>
        <v>12427</v>
      </c>
      <c r="AB7" s="69">
        <f t="shared" si="8"/>
        <v>678.70967741935488</v>
      </c>
      <c r="AC7" s="69">
        <f t="shared" si="9"/>
        <v>632</v>
      </c>
      <c r="AD7" s="70">
        <f t="shared" si="10"/>
        <v>36</v>
      </c>
      <c r="AE7" s="71">
        <f t="shared" si="11"/>
        <v>1346.7096774193549</v>
      </c>
      <c r="AF7" s="71">
        <f t="shared" si="12"/>
        <v>14638.064516129032</v>
      </c>
    </row>
    <row r="8" spans="1:32" x14ac:dyDescent="0.2">
      <c r="A8" s="64" t="s">
        <v>38</v>
      </c>
      <c r="B8" s="65">
        <v>3</v>
      </c>
      <c r="C8" s="65" t="s">
        <v>34</v>
      </c>
      <c r="D8" s="64" t="s">
        <v>38</v>
      </c>
      <c r="E8" s="66" t="s">
        <v>50</v>
      </c>
      <c r="F8" s="66" t="s">
        <v>232</v>
      </c>
      <c r="G8" s="67">
        <v>42205</v>
      </c>
      <c r="H8" s="67"/>
      <c r="I8" s="65">
        <v>31</v>
      </c>
      <c r="J8" s="68">
        <f t="shared" si="0"/>
        <v>5000</v>
      </c>
      <c r="K8" s="68">
        <f t="shared" si="1"/>
        <v>0</v>
      </c>
      <c r="L8" s="68">
        <f t="shared" si="2"/>
        <v>250</v>
      </c>
      <c r="M8" s="68"/>
      <c r="N8" s="68">
        <f>((800+800)/I$3)*I8</f>
        <v>1600</v>
      </c>
      <c r="O8" s="68"/>
      <c r="P8" s="68">
        <f>((1950+2484+5816+2890)/I$3)*I8</f>
        <v>13140</v>
      </c>
      <c r="Q8" s="68">
        <v>0</v>
      </c>
      <c r="R8" s="68">
        <v>0</v>
      </c>
      <c r="S8" s="68">
        <f t="shared" si="3"/>
        <v>19990</v>
      </c>
      <c r="T8" s="69">
        <f t="shared" si="4"/>
        <v>600</v>
      </c>
      <c r="U8" s="69">
        <f t="shared" ref="U8:U39" si="13">ROUNDUP((S8*1.75%),0)</f>
        <v>350</v>
      </c>
      <c r="V8" s="68">
        <v>0</v>
      </c>
      <c r="W8" s="68">
        <v>12</v>
      </c>
      <c r="X8" s="68">
        <f t="shared" si="5"/>
        <v>962</v>
      </c>
      <c r="Y8" s="68">
        <f t="shared" si="6"/>
        <v>19028</v>
      </c>
      <c r="Z8" s="68"/>
      <c r="AA8" s="68">
        <f t="shared" si="7"/>
        <v>19028</v>
      </c>
      <c r="AB8" s="69">
        <f t="shared" si="8"/>
        <v>657.5</v>
      </c>
      <c r="AC8" s="69">
        <f t="shared" si="9"/>
        <v>950</v>
      </c>
      <c r="AD8" s="70">
        <f t="shared" si="10"/>
        <v>36</v>
      </c>
      <c r="AE8" s="71">
        <f t="shared" si="11"/>
        <v>1643.5</v>
      </c>
      <c r="AF8" s="71">
        <f t="shared" si="12"/>
        <v>21633.5</v>
      </c>
    </row>
    <row r="9" spans="1:32" x14ac:dyDescent="0.2">
      <c r="A9" s="64" t="s">
        <v>41</v>
      </c>
      <c r="B9" s="65">
        <v>4</v>
      </c>
      <c r="C9" s="65" t="s">
        <v>39</v>
      </c>
      <c r="D9" s="64" t="s">
        <v>41</v>
      </c>
      <c r="E9" s="66" t="s">
        <v>50</v>
      </c>
      <c r="F9" s="66" t="s">
        <v>234</v>
      </c>
      <c r="G9" s="67">
        <v>42261</v>
      </c>
      <c r="H9" s="67"/>
      <c r="I9" s="65">
        <v>27</v>
      </c>
      <c r="J9" s="68">
        <f t="shared" si="0"/>
        <v>4354.8387096774195</v>
      </c>
      <c r="K9" s="68">
        <f t="shared" si="1"/>
        <v>0</v>
      </c>
      <c r="L9" s="68">
        <f t="shared" si="2"/>
        <v>217.74193548387098</v>
      </c>
      <c r="M9" s="68"/>
      <c r="N9" s="68">
        <f t="shared" ref="N9:N40" si="14">((800)/I$3)*I9</f>
        <v>696.77419354838707</v>
      </c>
      <c r="O9" s="68"/>
      <c r="P9" s="68">
        <f>((1950+2484+1018+1018)/I$3)*I9</f>
        <v>5635.1612903225805</v>
      </c>
      <c r="Q9" s="68">
        <f>(1018/30*30)</f>
        <v>1017.9999999999999</v>
      </c>
      <c r="R9" s="68">
        <v>0</v>
      </c>
      <c r="S9" s="68">
        <f t="shared" si="3"/>
        <v>11922.516129032258</v>
      </c>
      <c r="T9" s="69">
        <f t="shared" si="4"/>
        <v>522.58064516129036</v>
      </c>
      <c r="U9" s="69">
        <f t="shared" si="13"/>
        <v>209</v>
      </c>
      <c r="V9" s="68">
        <v>0</v>
      </c>
      <c r="W9" s="68">
        <v>12</v>
      </c>
      <c r="X9" s="68">
        <f t="shared" si="5"/>
        <v>743.58064516129036</v>
      </c>
      <c r="Y9" s="68">
        <f t="shared" si="6"/>
        <v>11178.935483870968</v>
      </c>
      <c r="Z9" s="68"/>
      <c r="AA9" s="68">
        <f t="shared" si="7"/>
        <v>11178.935483870968</v>
      </c>
      <c r="AB9" s="69">
        <f t="shared" si="8"/>
        <v>572.66129032258073</v>
      </c>
      <c r="AC9" s="69">
        <f t="shared" si="9"/>
        <v>567</v>
      </c>
      <c r="AD9" s="70">
        <f t="shared" si="10"/>
        <v>36</v>
      </c>
      <c r="AE9" s="71">
        <f t="shared" si="11"/>
        <v>1175.6612903225807</v>
      </c>
      <c r="AF9" s="71">
        <f t="shared" si="12"/>
        <v>13098.177419354839</v>
      </c>
    </row>
    <row r="10" spans="1:32" x14ac:dyDescent="0.2">
      <c r="A10" s="64" t="s">
        <v>43</v>
      </c>
      <c r="B10" s="65">
        <v>5</v>
      </c>
      <c r="C10" s="65" t="s">
        <v>489</v>
      </c>
      <c r="D10" s="64" t="s">
        <v>43</v>
      </c>
      <c r="E10" s="66" t="s">
        <v>50</v>
      </c>
      <c r="F10" s="66" t="s">
        <v>237</v>
      </c>
      <c r="G10" s="67">
        <v>42278</v>
      </c>
      <c r="H10" s="67"/>
      <c r="I10" s="65">
        <v>33</v>
      </c>
      <c r="J10" s="68">
        <f t="shared" si="0"/>
        <v>5322.5806451612898</v>
      </c>
      <c r="K10" s="68">
        <f t="shared" si="1"/>
        <v>0</v>
      </c>
      <c r="L10" s="68">
        <f t="shared" si="2"/>
        <v>266.12903225806451</v>
      </c>
      <c r="M10" s="68"/>
      <c r="N10" s="68">
        <f t="shared" si="14"/>
        <v>851.61290322580635</v>
      </c>
      <c r="O10" s="68"/>
      <c r="P10" s="68">
        <f>((1950+2484+509+1069+1984+0)/I$3)*I10</f>
        <v>8511.8709677419356</v>
      </c>
      <c r="Q10" s="68">
        <v>0</v>
      </c>
      <c r="R10" s="68">
        <v>0</v>
      </c>
      <c r="S10" s="68">
        <f t="shared" si="3"/>
        <v>14952.193548387097</v>
      </c>
      <c r="T10" s="69">
        <f t="shared" si="4"/>
        <v>638.70967741935476</v>
      </c>
      <c r="U10" s="69">
        <f t="shared" si="13"/>
        <v>262</v>
      </c>
      <c r="V10" s="68">
        <v>0</v>
      </c>
      <c r="W10" s="68">
        <v>12</v>
      </c>
      <c r="X10" s="68">
        <f t="shared" si="5"/>
        <v>912.70967741935476</v>
      </c>
      <c r="Y10" s="68">
        <f t="shared" si="6"/>
        <v>14039.483870967742</v>
      </c>
      <c r="Z10" s="68"/>
      <c r="AA10" s="68">
        <f t="shared" si="7"/>
        <v>14039.483870967742</v>
      </c>
      <c r="AB10" s="69">
        <f t="shared" si="8"/>
        <v>699.91935483870964</v>
      </c>
      <c r="AC10" s="69">
        <f t="shared" si="9"/>
        <v>711</v>
      </c>
      <c r="AD10" s="70">
        <f t="shared" si="10"/>
        <v>36</v>
      </c>
      <c r="AE10" s="71">
        <f t="shared" si="11"/>
        <v>1446.9193548387098</v>
      </c>
      <c r="AF10" s="71">
        <f t="shared" si="12"/>
        <v>16399.112903225807</v>
      </c>
    </row>
    <row r="11" spans="1:32" x14ac:dyDescent="0.2">
      <c r="A11" s="64" t="s">
        <v>620</v>
      </c>
      <c r="B11" s="65">
        <v>6</v>
      </c>
      <c r="C11" s="65" t="s">
        <v>354</v>
      </c>
      <c r="D11" s="64" t="s">
        <v>620</v>
      </c>
      <c r="E11" s="66" t="s">
        <v>50</v>
      </c>
      <c r="F11" s="66" t="s">
        <v>237</v>
      </c>
      <c r="G11" s="67">
        <v>42277</v>
      </c>
      <c r="H11" s="67"/>
      <c r="I11" s="65">
        <v>34</v>
      </c>
      <c r="J11" s="68">
        <f t="shared" si="0"/>
        <v>5483.8709677419356</v>
      </c>
      <c r="K11" s="68">
        <f t="shared" si="1"/>
        <v>0</v>
      </c>
      <c r="L11" s="68">
        <f t="shared" si="2"/>
        <v>274.19354838709677</v>
      </c>
      <c r="M11" s="68"/>
      <c r="N11" s="68">
        <f t="shared" si="14"/>
        <v>877.41935483870964</v>
      </c>
      <c r="O11" s="68"/>
      <c r="P11" s="68">
        <f>((1950+1441+4137+0)/I$3)*I11</f>
        <v>8256.5161290322576</v>
      </c>
      <c r="Q11" s="68">
        <v>0</v>
      </c>
      <c r="R11" s="68">
        <v>0</v>
      </c>
      <c r="S11" s="68">
        <f t="shared" si="3"/>
        <v>14892</v>
      </c>
      <c r="T11" s="69">
        <f t="shared" si="4"/>
        <v>658.0645161290322</v>
      </c>
      <c r="U11" s="69">
        <f t="shared" si="13"/>
        <v>261</v>
      </c>
      <c r="V11" s="68">
        <v>0</v>
      </c>
      <c r="W11" s="68">
        <v>12</v>
      </c>
      <c r="X11" s="68">
        <f t="shared" si="5"/>
        <v>931.0645161290322</v>
      </c>
      <c r="Y11" s="68">
        <f t="shared" si="6"/>
        <v>13960.935483870968</v>
      </c>
      <c r="Z11" s="68"/>
      <c r="AA11" s="68">
        <f t="shared" si="7"/>
        <v>13960.935483870968</v>
      </c>
      <c r="AB11" s="69">
        <f t="shared" si="8"/>
        <v>721.12903225806451</v>
      </c>
      <c r="AC11" s="69">
        <f t="shared" si="9"/>
        <v>708</v>
      </c>
      <c r="AD11" s="70">
        <f t="shared" si="10"/>
        <v>36</v>
      </c>
      <c r="AE11" s="71">
        <f t="shared" si="11"/>
        <v>1465.1290322580644</v>
      </c>
      <c r="AF11" s="71">
        <f t="shared" si="12"/>
        <v>16357.129032258064</v>
      </c>
    </row>
    <row r="12" spans="1:32" x14ac:dyDescent="0.2">
      <c r="A12" s="64" t="s">
        <v>57</v>
      </c>
      <c r="B12" s="65">
        <v>7</v>
      </c>
      <c r="C12" s="65" t="s">
        <v>47</v>
      </c>
      <c r="D12" s="64" t="s">
        <v>57</v>
      </c>
      <c r="E12" s="65" t="s">
        <v>50</v>
      </c>
      <c r="F12" s="66" t="s">
        <v>234</v>
      </c>
      <c r="G12" s="67">
        <v>42348</v>
      </c>
      <c r="H12" s="67"/>
      <c r="I12" s="65">
        <v>32</v>
      </c>
      <c r="J12" s="68">
        <f t="shared" si="0"/>
        <v>5161.2903225806449</v>
      </c>
      <c r="K12" s="68">
        <f t="shared" si="1"/>
        <v>0</v>
      </c>
      <c r="L12" s="68">
        <f t="shared" si="2"/>
        <v>258.06451612903226</v>
      </c>
      <c r="M12" s="68"/>
      <c r="N12" s="68">
        <f t="shared" si="14"/>
        <v>825.80645161290317</v>
      </c>
      <c r="O12" s="68"/>
      <c r="P12" s="68">
        <f>((1950+2484+2036+0)/I$3)*I12</f>
        <v>6678.7096774193551</v>
      </c>
      <c r="Q12" s="68">
        <v>0</v>
      </c>
      <c r="R12" s="68">
        <v>0</v>
      </c>
      <c r="S12" s="68">
        <f t="shared" si="3"/>
        <v>12923.870967741936</v>
      </c>
      <c r="T12" s="69">
        <f t="shared" si="4"/>
        <v>619.35483870967732</v>
      </c>
      <c r="U12" s="69">
        <f t="shared" si="13"/>
        <v>227</v>
      </c>
      <c r="V12" s="68">
        <v>0</v>
      </c>
      <c r="W12" s="68">
        <v>12</v>
      </c>
      <c r="X12" s="68">
        <f t="shared" si="5"/>
        <v>858.35483870967732</v>
      </c>
      <c r="Y12" s="68">
        <f t="shared" si="6"/>
        <v>12065.516129032258</v>
      </c>
      <c r="Z12" s="68"/>
      <c r="AA12" s="68">
        <f t="shared" si="7"/>
        <v>12065.516129032258</v>
      </c>
      <c r="AB12" s="69">
        <f t="shared" si="8"/>
        <v>678.70967741935488</v>
      </c>
      <c r="AC12" s="69">
        <f t="shared" si="9"/>
        <v>614</v>
      </c>
      <c r="AD12" s="70">
        <f t="shared" si="10"/>
        <v>36</v>
      </c>
      <c r="AE12" s="71">
        <f t="shared" si="11"/>
        <v>1328.7096774193549</v>
      </c>
      <c r="AF12" s="71">
        <f t="shared" si="12"/>
        <v>14252.58064516129</v>
      </c>
    </row>
    <row r="13" spans="1:32" x14ac:dyDescent="0.2">
      <c r="A13" s="64" t="s">
        <v>1447</v>
      </c>
      <c r="B13" s="65">
        <v>8</v>
      </c>
      <c r="C13" s="65" t="s">
        <v>1406</v>
      </c>
      <c r="D13" s="64" t="s">
        <v>1447</v>
      </c>
      <c r="E13" s="66" t="s">
        <v>50</v>
      </c>
      <c r="F13" s="65" t="s">
        <v>238</v>
      </c>
      <c r="G13" s="67">
        <v>42415</v>
      </c>
      <c r="H13" s="67"/>
      <c r="I13" s="65">
        <v>36</v>
      </c>
      <c r="J13" s="68">
        <f t="shared" si="0"/>
        <v>5806.4516129032254</v>
      </c>
      <c r="K13" s="68">
        <f t="shared" si="1"/>
        <v>0</v>
      </c>
      <c r="L13" s="68">
        <f t="shared" si="2"/>
        <v>290.32258064516128</v>
      </c>
      <c r="M13" s="68"/>
      <c r="N13" s="68">
        <f t="shared" si="14"/>
        <v>929.0322580645161</v>
      </c>
      <c r="O13" s="68"/>
      <c r="P13" s="68">
        <f>((6851)/I$3)*I13</f>
        <v>7956</v>
      </c>
      <c r="Q13" s="68">
        <v>1286</v>
      </c>
      <c r="R13" s="68">
        <v>0</v>
      </c>
      <c r="S13" s="68">
        <f t="shared" si="3"/>
        <v>16267.806451612902</v>
      </c>
      <c r="T13" s="69">
        <f t="shared" si="4"/>
        <v>696.77419354838707</v>
      </c>
      <c r="U13" s="69">
        <f t="shared" si="13"/>
        <v>285</v>
      </c>
      <c r="V13" s="68">
        <v>0</v>
      </c>
      <c r="W13" s="68">
        <v>12</v>
      </c>
      <c r="X13" s="68">
        <f t="shared" si="5"/>
        <v>993.77419354838707</v>
      </c>
      <c r="Y13" s="68">
        <f t="shared" si="6"/>
        <v>15274.032258064515</v>
      </c>
      <c r="Z13" s="68">
        <v>1260</v>
      </c>
      <c r="AA13" s="68">
        <f t="shared" si="7"/>
        <v>14014.032258064515</v>
      </c>
      <c r="AB13" s="69">
        <f t="shared" si="8"/>
        <v>763.54838709677415</v>
      </c>
      <c r="AC13" s="69">
        <f t="shared" si="9"/>
        <v>773</v>
      </c>
      <c r="AD13" s="70">
        <f t="shared" si="10"/>
        <v>36</v>
      </c>
      <c r="AE13" s="71">
        <f t="shared" si="11"/>
        <v>1572.5483870967741</v>
      </c>
      <c r="AF13" s="71">
        <f t="shared" si="12"/>
        <v>17840.354838709674</v>
      </c>
    </row>
    <row r="14" spans="1:32" x14ac:dyDescent="0.2">
      <c r="A14" s="64" t="s">
        <v>77</v>
      </c>
      <c r="B14" s="65">
        <v>9</v>
      </c>
      <c r="C14" s="65" t="s">
        <v>64</v>
      </c>
      <c r="D14" s="64" t="s">
        <v>77</v>
      </c>
      <c r="E14" s="66" t="s">
        <v>50</v>
      </c>
      <c r="F14" s="66" t="s">
        <v>239</v>
      </c>
      <c r="G14" s="67">
        <v>42461</v>
      </c>
      <c r="H14" s="67"/>
      <c r="I14" s="65">
        <v>37</v>
      </c>
      <c r="J14" s="68">
        <f t="shared" si="0"/>
        <v>5967.7419354838703</v>
      </c>
      <c r="K14" s="68">
        <f t="shared" si="1"/>
        <v>0</v>
      </c>
      <c r="L14" s="68">
        <f t="shared" si="2"/>
        <v>298.38709677419354</v>
      </c>
      <c r="M14" s="68"/>
      <c r="N14" s="68">
        <f t="shared" si="14"/>
        <v>954.83870967741927</v>
      </c>
      <c r="O14" s="68"/>
      <c r="P14" s="68">
        <f>((1950+1441+1552+1934)/I$3)*I14</f>
        <v>8208.032258064517</v>
      </c>
      <c r="Q14" s="68">
        <v>0</v>
      </c>
      <c r="R14" s="68">
        <v>0</v>
      </c>
      <c r="S14" s="68">
        <f t="shared" si="3"/>
        <v>15429</v>
      </c>
      <c r="T14" s="69">
        <f t="shared" si="4"/>
        <v>716.1290322580644</v>
      </c>
      <c r="U14" s="69">
        <f t="shared" si="13"/>
        <v>271</v>
      </c>
      <c r="V14" s="68">
        <v>0</v>
      </c>
      <c r="W14" s="68">
        <v>12</v>
      </c>
      <c r="X14" s="68">
        <f t="shared" si="5"/>
        <v>999.1290322580644</v>
      </c>
      <c r="Y14" s="68">
        <f t="shared" si="6"/>
        <v>14429.870967741936</v>
      </c>
      <c r="Z14" s="68"/>
      <c r="AA14" s="68">
        <f t="shared" si="7"/>
        <v>14429.870967741936</v>
      </c>
      <c r="AB14" s="69">
        <f t="shared" si="8"/>
        <v>784.75806451612902</v>
      </c>
      <c r="AC14" s="69">
        <f t="shared" si="9"/>
        <v>733</v>
      </c>
      <c r="AD14" s="70">
        <f t="shared" si="10"/>
        <v>36</v>
      </c>
      <c r="AE14" s="71">
        <f t="shared" si="11"/>
        <v>1553.758064516129</v>
      </c>
      <c r="AF14" s="71">
        <f t="shared" si="12"/>
        <v>16982.758064516129</v>
      </c>
    </row>
    <row r="15" spans="1:32" x14ac:dyDescent="0.2">
      <c r="A15" s="64" t="s">
        <v>78</v>
      </c>
      <c r="B15" s="65">
        <v>10</v>
      </c>
      <c r="C15" s="65" t="s">
        <v>490</v>
      </c>
      <c r="D15" s="64" t="s">
        <v>78</v>
      </c>
      <c r="E15" s="66" t="s">
        <v>50</v>
      </c>
      <c r="F15" s="66" t="s">
        <v>239</v>
      </c>
      <c r="G15" s="67">
        <v>42461</v>
      </c>
      <c r="H15" s="67"/>
      <c r="I15" s="65">
        <v>34</v>
      </c>
      <c r="J15" s="68">
        <f t="shared" si="0"/>
        <v>5483.8709677419356</v>
      </c>
      <c r="K15" s="68">
        <f t="shared" si="1"/>
        <v>0</v>
      </c>
      <c r="L15" s="68">
        <f t="shared" si="2"/>
        <v>274.19354838709677</v>
      </c>
      <c r="M15" s="68"/>
      <c r="N15" s="68">
        <f t="shared" si="14"/>
        <v>877.41935483870964</v>
      </c>
      <c r="O15" s="68"/>
      <c r="P15" s="68">
        <f>((1950+1441+1552+1374)/I$3)*I15</f>
        <v>6928.3225806451619</v>
      </c>
      <c r="Q15" s="68">
        <v>0</v>
      </c>
      <c r="R15" s="68">
        <v>0</v>
      </c>
      <c r="S15" s="68">
        <f t="shared" si="3"/>
        <v>13563.806451612903</v>
      </c>
      <c r="T15" s="69">
        <f t="shared" si="4"/>
        <v>658.0645161290322</v>
      </c>
      <c r="U15" s="69">
        <f t="shared" si="13"/>
        <v>238</v>
      </c>
      <c r="V15" s="68">
        <v>0</v>
      </c>
      <c r="W15" s="68">
        <v>12</v>
      </c>
      <c r="X15" s="68">
        <f t="shared" si="5"/>
        <v>908.0645161290322</v>
      </c>
      <c r="Y15" s="68">
        <f t="shared" si="6"/>
        <v>12655.741935483871</v>
      </c>
      <c r="Z15" s="68"/>
      <c r="AA15" s="68">
        <f t="shared" si="7"/>
        <v>12655.741935483871</v>
      </c>
      <c r="AB15" s="69">
        <f t="shared" si="8"/>
        <v>721.12903225806451</v>
      </c>
      <c r="AC15" s="69">
        <f t="shared" si="9"/>
        <v>645</v>
      </c>
      <c r="AD15" s="70">
        <f t="shared" si="10"/>
        <v>36</v>
      </c>
      <c r="AE15" s="71">
        <f t="shared" si="11"/>
        <v>1402.1290322580644</v>
      </c>
      <c r="AF15" s="71">
        <f t="shared" si="12"/>
        <v>14965.935483870968</v>
      </c>
    </row>
    <row r="16" spans="1:32" x14ac:dyDescent="0.2">
      <c r="A16" s="64" t="s">
        <v>79</v>
      </c>
      <c r="B16" s="65">
        <v>11</v>
      </c>
      <c r="C16" s="65" t="s">
        <v>65</v>
      </c>
      <c r="D16" s="64" t="s">
        <v>79</v>
      </c>
      <c r="E16" s="66" t="s">
        <v>50</v>
      </c>
      <c r="F16" s="66" t="s">
        <v>240</v>
      </c>
      <c r="G16" s="67">
        <v>42461</v>
      </c>
      <c r="H16" s="67"/>
      <c r="I16" s="65">
        <v>36</v>
      </c>
      <c r="J16" s="68">
        <f t="shared" si="0"/>
        <v>5806.4516129032254</v>
      </c>
      <c r="K16" s="68">
        <f t="shared" si="1"/>
        <v>0</v>
      </c>
      <c r="L16" s="68">
        <f t="shared" si="2"/>
        <v>290.32258064516128</v>
      </c>
      <c r="M16" s="68"/>
      <c r="N16" s="68">
        <f t="shared" si="14"/>
        <v>929.0322580645161</v>
      </c>
      <c r="O16" s="68"/>
      <c r="P16" s="68">
        <f>((1950+1441+2000)/I$3)*I16</f>
        <v>6260.5161290322585</v>
      </c>
      <c r="Q16" s="68">
        <v>0</v>
      </c>
      <c r="R16" s="68">
        <v>0</v>
      </c>
      <c r="S16" s="68">
        <f t="shared" si="3"/>
        <v>13286.322580645161</v>
      </c>
      <c r="T16" s="69">
        <f t="shared" si="4"/>
        <v>696.77419354838707</v>
      </c>
      <c r="U16" s="69">
        <f t="shared" si="13"/>
        <v>233</v>
      </c>
      <c r="V16" s="68">
        <v>0</v>
      </c>
      <c r="W16" s="68">
        <v>12</v>
      </c>
      <c r="X16" s="68">
        <f t="shared" si="5"/>
        <v>941.77419354838707</v>
      </c>
      <c r="Y16" s="68">
        <f t="shared" si="6"/>
        <v>12344.548387096775</v>
      </c>
      <c r="Z16" s="68"/>
      <c r="AA16" s="68">
        <f t="shared" si="7"/>
        <v>12344.548387096775</v>
      </c>
      <c r="AB16" s="69">
        <f t="shared" si="8"/>
        <v>763.54838709677415</v>
      </c>
      <c r="AC16" s="69">
        <f t="shared" si="9"/>
        <v>632</v>
      </c>
      <c r="AD16" s="70">
        <f t="shared" si="10"/>
        <v>36</v>
      </c>
      <c r="AE16" s="71">
        <f t="shared" si="11"/>
        <v>1431.5483870967741</v>
      </c>
      <c r="AF16" s="71">
        <f t="shared" si="12"/>
        <v>14717.870967741936</v>
      </c>
    </row>
    <row r="17" spans="1:32" x14ac:dyDescent="0.2">
      <c r="A17" s="64" t="s">
        <v>80</v>
      </c>
      <c r="B17" s="65">
        <v>12</v>
      </c>
      <c r="C17" s="65" t="s">
        <v>485</v>
      </c>
      <c r="D17" s="64" t="s">
        <v>80</v>
      </c>
      <c r="E17" s="66" t="s">
        <v>50</v>
      </c>
      <c r="F17" s="66" t="s">
        <v>484</v>
      </c>
      <c r="G17" s="67">
        <v>42461</v>
      </c>
      <c r="H17" s="67"/>
      <c r="I17" s="65">
        <v>36</v>
      </c>
      <c r="J17" s="68">
        <f t="shared" si="0"/>
        <v>5806.4516129032254</v>
      </c>
      <c r="K17" s="68">
        <f t="shared" si="1"/>
        <v>0</v>
      </c>
      <c r="L17" s="68">
        <f t="shared" si="2"/>
        <v>290.32258064516128</v>
      </c>
      <c r="M17" s="68"/>
      <c r="N17" s="68">
        <f t="shared" si="14"/>
        <v>929.0322580645161</v>
      </c>
      <c r="O17" s="68"/>
      <c r="P17" s="68">
        <f>((1950+1441+1806)/I$3)*I17</f>
        <v>6035.2258064516136</v>
      </c>
      <c r="Q17" s="68">
        <v>0</v>
      </c>
      <c r="R17" s="68">
        <v>0</v>
      </c>
      <c r="S17" s="68">
        <f t="shared" si="3"/>
        <v>13061.032258064515</v>
      </c>
      <c r="T17" s="69">
        <f t="shared" si="4"/>
        <v>696.77419354838707</v>
      </c>
      <c r="U17" s="69">
        <f t="shared" si="13"/>
        <v>229</v>
      </c>
      <c r="V17" s="68">
        <v>0</v>
      </c>
      <c r="W17" s="68">
        <v>12</v>
      </c>
      <c r="X17" s="68">
        <f t="shared" si="5"/>
        <v>937.77419354838707</v>
      </c>
      <c r="Y17" s="68">
        <f t="shared" si="6"/>
        <v>12123.258064516129</v>
      </c>
      <c r="Z17" s="68"/>
      <c r="AA17" s="68">
        <f t="shared" si="7"/>
        <v>12123.258064516129</v>
      </c>
      <c r="AB17" s="69">
        <f t="shared" si="8"/>
        <v>763.54838709677415</v>
      </c>
      <c r="AC17" s="69">
        <f t="shared" si="9"/>
        <v>621</v>
      </c>
      <c r="AD17" s="70">
        <f t="shared" si="10"/>
        <v>36</v>
      </c>
      <c r="AE17" s="71">
        <f t="shared" si="11"/>
        <v>1420.5483870967741</v>
      </c>
      <c r="AF17" s="71">
        <f t="shared" si="12"/>
        <v>14481.58064516129</v>
      </c>
    </row>
    <row r="18" spans="1:32" x14ac:dyDescent="0.2">
      <c r="A18" s="64" t="s">
        <v>81</v>
      </c>
      <c r="B18" s="65">
        <v>13</v>
      </c>
      <c r="C18" s="65" t="s">
        <v>66</v>
      </c>
      <c r="D18" s="64" t="s">
        <v>81</v>
      </c>
      <c r="E18" s="66" t="s">
        <v>50</v>
      </c>
      <c r="F18" s="66" t="s">
        <v>484</v>
      </c>
      <c r="G18" s="67">
        <v>42461</v>
      </c>
      <c r="H18" s="67"/>
      <c r="I18" s="65">
        <v>35</v>
      </c>
      <c r="J18" s="68">
        <f t="shared" si="0"/>
        <v>5645.1612903225805</v>
      </c>
      <c r="K18" s="68">
        <f t="shared" si="1"/>
        <v>0</v>
      </c>
      <c r="L18" s="68">
        <f t="shared" si="2"/>
        <v>282.25806451612902</v>
      </c>
      <c r="M18" s="68"/>
      <c r="N18" s="68">
        <f t="shared" si="14"/>
        <v>903.22580645161281</v>
      </c>
      <c r="O18" s="68"/>
      <c r="P18" s="68">
        <f>((1950+1441+1806)/I$3)*I18</f>
        <v>5867.5806451612907</v>
      </c>
      <c r="Q18" s="68">
        <v>0</v>
      </c>
      <c r="R18" s="68">
        <v>0</v>
      </c>
      <c r="S18" s="68">
        <f t="shared" si="3"/>
        <v>12698.225806451614</v>
      </c>
      <c r="T18" s="69">
        <f t="shared" si="4"/>
        <v>677.41935483870964</v>
      </c>
      <c r="U18" s="69">
        <f t="shared" si="13"/>
        <v>223</v>
      </c>
      <c r="V18" s="68">
        <v>0</v>
      </c>
      <c r="W18" s="68">
        <v>12</v>
      </c>
      <c r="X18" s="68">
        <f t="shared" si="5"/>
        <v>912.41935483870964</v>
      </c>
      <c r="Y18" s="68">
        <f t="shared" si="6"/>
        <v>11785.806451612903</v>
      </c>
      <c r="Z18" s="68"/>
      <c r="AA18" s="68">
        <f t="shared" si="7"/>
        <v>11785.806451612903</v>
      </c>
      <c r="AB18" s="69">
        <f t="shared" si="8"/>
        <v>742.33870967741939</v>
      </c>
      <c r="AC18" s="69">
        <f t="shared" si="9"/>
        <v>604</v>
      </c>
      <c r="AD18" s="70">
        <f t="shared" si="10"/>
        <v>36</v>
      </c>
      <c r="AE18" s="71">
        <f t="shared" si="11"/>
        <v>1382.3387096774195</v>
      </c>
      <c r="AF18" s="71">
        <f t="shared" si="12"/>
        <v>14080.564516129034</v>
      </c>
    </row>
    <row r="19" spans="1:32" x14ac:dyDescent="0.2">
      <c r="A19" s="64" t="s">
        <v>82</v>
      </c>
      <c r="B19" s="65">
        <v>14</v>
      </c>
      <c r="C19" s="65" t="s">
        <v>34</v>
      </c>
      <c r="D19" s="64" t="s">
        <v>82</v>
      </c>
      <c r="E19" s="66" t="s">
        <v>50</v>
      </c>
      <c r="F19" s="66" t="s">
        <v>240</v>
      </c>
      <c r="G19" s="67">
        <v>42767</v>
      </c>
      <c r="H19" s="67"/>
      <c r="I19" s="65">
        <v>33</v>
      </c>
      <c r="J19" s="68">
        <f t="shared" si="0"/>
        <v>5322.5806451612898</v>
      </c>
      <c r="K19" s="68">
        <f t="shared" si="1"/>
        <v>0</v>
      </c>
      <c r="L19" s="68">
        <f t="shared" si="2"/>
        <v>266.12903225806451</v>
      </c>
      <c r="M19" s="68"/>
      <c r="N19" s="68">
        <f t="shared" si="14"/>
        <v>851.61290322580635</v>
      </c>
      <c r="O19" s="68"/>
      <c r="P19" s="68">
        <f>((1950+1441+3588+3328)/I$3)*I19</f>
        <v>10971.967741935485</v>
      </c>
      <c r="Q19" s="68">
        <v>0</v>
      </c>
      <c r="R19" s="68">
        <v>0</v>
      </c>
      <c r="S19" s="68">
        <f t="shared" si="3"/>
        <v>17412.290322580644</v>
      </c>
      <c r="T19" s="69">
        <f t="shared" si="4"/>
        <v>638.70967741935476</v>
      </c>
      <c r="U19" s="69">
        <f t="shared" si="13"/>
        <v>305</v>
      </c>
      <c r="V19" s="68">
        <v>0</v>
      </c>
      <c r="W19" s="68">
        <v>12</v>
      </c>
      <c r="X19" s="68">
        <f t="shared" si="5"/>
        <v>955.70967741935476</v>
      </c>
      <c r="Y19" s="68">
        <f t="shared" si="6"/>
        <v>16456.580645161288</v>
      </c>
      <c r="Z19" s="68"/>
      <c r="AA19" s="68">
        <f t="shared" si="7"/>
        <v>16456.580645161288</v>
      </c>
      <c r="AB19" s="69">
        <f t="shared" si="8"/>
        <v>699.91935483870964</v>
      </c>
      <c r="AC19" s="69">
        <f t="shared" si="9"/>
        <v>828</v>
      </c>
      <c r="AD19" s="70">
        <f t="shared" si="10"/>
        <v>36</v>
      </c>
      <c r="AE19" s="71">
        <f t="shared" si="11"/>
        <v>1563.9193548387098</v>
      </c>
      <c r="AF19" s="71">
        <f t="shared" si="12"/>
        <v>18976.209677419352</v>
      </c>
    </row>
    <row r="20" spans="1:32" x14ac:dyDescent="0.2">
      <c r="A20" s="64" t="s">
        <v>90</v>
      </c>
      <c r="B20" s="65">
        <v>15</v>
      </c>
      <c r="C20" s="65" t="s">
        <v>233</v>
      </c>
      <c r="D20" s="64" t="s">
        <v>90</v>
      </c>
      <c r="E20" s="66" t="s">
        <v>50</v>
      </c>
      <c r="F20" s="66" t="s">
        <v>240</v>
      </c>
      <c r="G20" s="67">
        <v>42492</v>
      </c>
      <c r="H20" s="67"/>
      <c r="I20" s="65">
        <v>36</v>
      </c>
      <c r="J20" s="68">
        <f t="shared" si="0"/>
        <v>5806.4516129032254</v>
      </c>
      <c r="K20" s="68">
        <f t="shared" si="1"/>
        <v>0</v>
      </c>
      <c r="L20" s="68">
        <f t="shared" si="2"/>
        <v>290.32258064516128</v>
      </c>
      <c r="M20" s="68"/>
      <c r="N20" s="68">
        <f t="shared" si="14"/>
        <v>929.0322580645161</v>
      </c>
      <c r="O20" s="68"/>
      <c r="P20" s="68">
        <f>((1950+1441+3588+3328)/I$3)*I20</f>
        <v>11969.41935483871</v>
      </c>
      <c r="Q20" s="68">
        <v>0</v>
      </c>
      <c r="R20" s="68">
        <v>0</v>
      </c>
      <c r="S20" s="68">
        <f t="shared" si="3"/>
        <v>18995.225806451614</v>
      </c>
      <c r="T20" s="69">
        <f t="shared" si="4"/>
        <v>696.77419354838707</v>
      </c>
      <c r="U20" s="69">
        <f t="shared" si="13"/>
        <v>333</v>
      </c>
      <c r="V20" s="68">
        <v>0</v>
      </c>
      <c r="W20" s="68">
        <v>12</v>
      </c>
      <c r="X20" s="68">
        <f t="shared" si="5"/>
        <v>1041.7741935483871</v>
      </c>
      <c r="Y20" s="68">
        <f t="shared" si="6"/>
        <v>17953.451612903227</v>
      </c>
      <c r="Z20" s="68"/>
      <c r="AA20" s="68">
        <f t="shared" si="7"/>
        <v>17953.451612903227</v>
      </c>
      <c r="AB20" s="69">
        <f t="shared" si="8"/>
        <v>763.54838709677415</v>
      </c>
      <c r="AC20" s="69">
        <f t="shared" si="9"/>
        <v>903</v>
      </c>
      <c r="AD20" s="70">
        <f t="shared" si="10"/>
        <v>36</v>
      </c>
      <c r="AE20" s="71">
        <f t="shared" si="11"/>
        <v>1702.5483870967741</v>
      </c>
      <c r="AF20" s="71">
        <f t="shared" si="12"/>
        <v>20697.774193548386</v>
      </c>
    </row>
    <row r="21" spans="1:32" x14ac:dyDescent="0.2">
      <c r="A21" s="64" t="s">
        <v>92</v>
      </c>
      <c r="B21" s="65">
        <v>16</v>
      </c>
      <c r="C21" s="65" t="s">
        <v>72</v>
      </c>
      <c r="D21" s="64" t="s">
        <v>92</v>
      </c>
      <c r="E21" s="66" t="s">
        <v>50</v>
      </c>
      <c r="F21" s="66" t="s">
        <v>484</v>
      </c>
      <c r="G21" s="67">
        <v>42491</v>
      </c>
      <c r="H21" s="67"/>
      <c r="I21" s="65">
        <v>36</v>
      </c>
      <c r="J21" s="68">
        <f t="shared" si="0"/>
        <v>5806.4516129032254</v>
      </c>
      <c r="K21" s="68">
        <f t="shared" si="1"/>
        <v>0</v>
      </c>
      <c r="L21" s="68">
        <f t="shared" si="2"/>
        <v>290.32258064516128</v>
      </c>
      <c r="M21" s="68"/>
      <c r="N21" s="68">
        <f t="shared" si="14"/>
        <v>929.0322580645161</v>
      </c>
      <c r="O21" s="68"/>
      <c r="P21" s="68">
        <f>((1950+1441+1857)/I$3)*I21</f>
        <v>6094.4516129032254</v>
      </c>
      <c r="Q21" s="68">
        <v>0</v>
      </c>
      <c r="R21" s="68">
        <v>0</v>
      </c>
      <c r="S21" s="68">
        <f t="shared" si="3"/>
        <v>13120.258064516129</v>
      </c>
      <c r="T21" s="69">
        <f t="shared" si="4"/>
        <v>696.77419354838707</v>
      </c>
      <c r="U21" s="69">
        <f t="shared" si="13"/>
        <v>230</v>
      </c>
      <c r="V21" s="68">
        <v>0</v>
      </c>
      <c r="W21" s="68">
        <v>12</v>
      </c>
      <c r="X21" s="68">
        <f t="shared" si="5"/>
        <v>938.77419354838707</v>
      </c>
      <c r="Y21" s="68">
        <f t="shared" si="6"/>
        <v>12181.483870967742</v>
      </c>
      <c r="Z21" s="68"/>
      <c r="AA21" s="68">
        <f t="shared" si="7"/>
        <v>12181.483870967742</v>
      </c>
      <c r="AB21" s="69">
        <f t="shared" si="8"/>
        <v>763.54838709677415</v>
      </c>
      <c r="AC21" s="69">
        <f t="shared" si="9"/>
        <v>624</v>
      </c>
      <c r="AD21" s="70">
        <f t="shared" si="10"/>
        <v>36</v>
      </c>
      <c r="AE21" s="71">
        <f t="shared" si="11"/>
        <v>1423.5483870967741</v>
      </c>
      <c r="AF21" s="71">
        <f t="shared" si="12"/>
        <v>14543.806451612903</v>
      </c>
    </row>
    <row r="22" spans="1:32" x14ac:dyDescent="0.2">
      <c r="A22" s="64" t="s">
        <v>100</v>
      </c>
      <c r="B22" s="65">
        <v>17</v>
      </c>
      <c r="C22" s="65" t="s">
        <v>84</v>
      </c>
      <c r="D22" s="64" t="s">
        <v>100</v>
      </c>
      <c r="E22" s="66" t="s">
        <v>50</v>
      </c>
      <c r="F22" s="66" t="s">
        <v>239</v>
      </c>
      <c r="G22" s="67">
        <v>42864</v>
      </c>
      <c r="H22" s="67"/>
      <c r="I22" s="65">
        <v>33</v>
      </c>
      <c r="J22" s="68">
        <f t="shared" si="0"/>
        <v>5322.5806451612898</v>
      </c>
      <c r="K22" s="68">
        <f t="shared" si="1"/>
        <v>0</v>
      </c>
      <c r="L22" s="68">
        <f t="shared" si="2"/>
        <v>266.12903225806451</v>
      </c>
      <c r="M22" s="68"/>
      <c r="N22" s="68">
        <f t="shared" si="14"/>
        <v>851.61290322580635</v>
      </c>
      <c r="O22" s="68"/>
      <c r="P22" s="68">
        <f>((5197)/I$3)*I22</f>
        <v>5532.2903225806458</v>
      </c>
      <c r="Q22" s="68">
        <v>0</v>
      </c>
      <c r="R22" s="68">
        <v>0</v>
      </c>
      <c r="S22" s="68">
        <f t="shared" si="3"/>
        <v>11972.612903225807</v>
      </c>
      <c r="T22" s="69">
        <f t="shared" si="4"/>
        <v>638.70967741935476</v>
      </c>
      <c r="U22" s="69">
        <f t="shared" si="13"/>
        <v>210</v>
      </c>
      <c r="V22" s="68">
        <v>0</v>
      </c>
      <c r="W22" s="68">
        <v>12</v>
      </c>
      <c r="X22" s="68">
        <f t="shared" si="5"/>
        <v>860.70967741935476</v>
      </c>
      <c r="Y22" s="68">
        <f t="shared" si="6"/>
        <v>11111.903225806453</v>
      </c>
      <c r="Z22" s="68"/>
      <c r="AA22" s="68">
        <f t="shared" si="7"/>
        <v>11111.903225806453</v>
      </c>
      <c r="AB22" s="69">
        <f t="shared" si="8"/>
        <v>699.91935483870964</v>
      </c>
      <c r="AC22" s="69">
        <f t="shared" si="9"/>
        <v>569</v>
      </c>
      <c r="AD22" s="70">
        <f t="shared" si="10"/>
        <v>36</v>
      </c>
      <c r="AE22" s="71">
        <f t="shared" si="11"/>
        <v>1304.9193548387098</v>
      </c>
      <c r="AF22" s="71">
        <f t="shared" si="12"/>
        <v>13277.532258064517</v>
      </c>
    </row>
    <row r="23" spans="1:32" x14ac:dyDescent="0.2">
      <c r="A23" s="64" t="s">
        <v>101</v>
      </c>
      <c r="B23" s="65">
        <v>18</v>
      </c>
      <c r="C23" s="65" t="s">
        <v>85</v>
      </c>
      <c r="D23" s="64" t="s">
        <v>101</v>
      </c>
      <c r="E23" s="66" t="s">
        <v>50</v>
      </c>
      <c r="F23" s="66" t="s">
        <v>241</v>
      </c>
      <c r="G23" s="67">
        <v>42524</v>
      </c>
      <c r="H23" s="67"/>
      <c r="I23" s="65">
        <v>34</v>
      </c>
      <c r="J23" s="68">
        <f t="shared" si="0"/>
        <v>5483.8709677419356</v>
      </c>
      <c r="K23" s="68">
        <f t="shared" si="1"/>
        <v>0</v>
      </c>
      <c r="L23" s="68">
        <f t="shared" si="2"/>
        <v>274.19354838709677</v>
      </c>
      <c r="M23" s="68"/>
      <c r="N23" s="68">
        <f t="shared" si="14"/>
        <v>877.41935483870964</v>
      </c>
      <c r="O23" s="68"/>
      <c r="P23" s="68">
        <f>((1950+1441+2290)/I$3)*I23</f>
        <v>6230.7741935483864</v>
      </c>
      <c r="Q23" s="68">
        <v>0</v>
      </c>
      <c r="R23" s="68">
        <v>0</v>
      </c>
      <c r="S23" s="68">
        <f t="shared" si="3"/>
        <v>12866.258064516129</v>
      </c>
      <c r="T23" s="69">
        <f t="shared" si="4"/>
        <v>658.0645161290322</v>
      </c>
      <c r="U23" s="69">
        <f t="shared" si="13"/>
        <v>226</v>
      </c>
      <c r="V23" s="68">
        <v>0</v>
      </c>
      <c r="W23" s="68">
        <v>12</v>
      </c>
      <c r="X23" s="68">
        <f t="shared" si="5"/>
        <v>896.0645161290322</v>
      </c>
      <c r="Y23" s="68">
        <f t="shared" si="6"/>
        <v>11970.193548387097</v>
      </c>
      <c r="Z23" s="68"/>
      <c r="AA23" s="68">
        <f t="shared" si="7"/>
        <v>11970.193548387097</v>
      </c>
      <c r="AB23" s="69">
        <f t="shared" si="8"/>
        <v>721.12903225806451</v>
      </c>
      <c r="AC23" s="69">
        <f t="shared" si="9"/>
        <v>612</v>
      </c>
      <c r="AD23" s="70">
        <f t="shared" si="10"/>
        <v>36</v>
      </c>
      <c r="AE23" s="71">
        <f t="shared" si="11"/>
        <v>1369.1290322580644</v>
      </c>
      <c r="AF23" s="71">
        <f t="shared" si="12"/>
        <v>14235.387096774193</v>
      </c>
    </row>
    <row r="24" spans="1:32" x14ac:dyDescent="0.2">
      <c r="A24" s="64" t="s">
        <v>102</v>
      </c>
      <c r="B24" s="65">
        <v>19</v>
      </c>
      <c r="C24" s="65" t="s">
        <v>86</v>
      </c>
      <c r="D24" s="64" t="s">
        <v>102</v>
      </c>
      <c r="E24" s="66" t="s">
        <v>50</v>
      </c>
      <c r="F24" s="66" t="s">
        <v>242</v>
      </c>
      <c r="G24" s="67">
        <v>42530</v>
      </c>
      <c r="H24" s="67"/>
      <c r="I24" s="65">
        <v>37</v>
      </c>
      <c r="J24" s="68">
        <f t="shared" si="0"/>
        <v>5967.7419354838703</v>
      </c>
      <c r="K24" s="68">
        <f t="shared" si="1"/>
        <v>0</v>
      </c>
      <c r="L24" s="68">
        <f t="shared" si="2"/>
        <v>298.38709677419354</v>
      </c>
      <c r="M24" s="68"/>
      <c r="N24" s="68">
        <f t="shared" si="14"/>
        <v>954.83870967741927</v>
      </c>
      <c r="O24" s="68"/>
      <c r="P24" s="68">
        <f>((1950+1441+1806)/I$3)*I24</f>
        <v>6202.8709677419356</v>
      </c>
      <c r="Q24" s="68">
        <v>0</v>
      </c>
      <c r="R24" s="68">
        <v>0</v>
      </c>
      <c r="S24" s="68">
        <f t="shared" si="3"/>
        <v>13423.838709677419</v>
      </c>
      <c r="T24" s="69">
        <f t="shared" si="4"/>
        <v>716.1290322580644</v>
      </c>
      <c r="U24" s="69">
        <f t="shared" si="13"/>
        <v>235</v>
      </c>
      <c r="V24" s="68">
        <v>0</v>
      </c>
      <c r="W24" s="68">
        <v>12</v>
      </c>
      <c r="X24" s="68">
        <f t="shared" si="5"/>
        <v>963.1290322580644</v>
      </c>
      <c r="Y24" s="68">
        <f t="shared" si="6"/>
        <v>12460.709677419354</v>
      </c>
      <c r="Z24" s="68"/>
      <c r="AA24" s="68">
        <f t="shared" si="7"/>
        <v>12460.709677419354</v>
      </c>
      <c r="AB24" s="69">
        <f t="shared" si="8"/>
        <v>784.75806451612902</v>
      </c>
      <c r="AC24" s="69">
        <f t="shared" si="9"/>
        <v>638</v>
      </c>
      <c r="AD24" s="70">
        <f t="shared" si="10"/>
        <v>36</v>
      </c>
      <c r="AE24" s="71">
        <f t="shared" si="11"/>
        <v>1458.758064516129</v>
      </c>
      <c r="AF24" s="71">
        <f t="shared" si="12"/>
        <v>14882.596774193547</v>
      </c>
    </row>
    <row r="25" spans="1:32" x14ac:dyDescent="0.2">
      <c r="A25" s="64" t="s">
        <v>103</v>
      </c>
      <c r="B25" s="65">
        <v>20</v>
      </c>
      <c r="C25" s="65" t="s">
        <v>40</v>
      </c>
      <c r="D25" s="64" t="s">
        <v>103</v>
      </c>
      <c r="E25" s="66" t="s">
        <v>50</v>
      </c>
      <c r="F25" s="66" t="s">
        <v>234</v>
      </c>
      <c r="G25" s="67">
        <v>42534</v>
      </c>
      <c r="H25" s="67"/>
      <c r="I25" s="65">
        <v>1</v>
      </c>
      <c r="J25" s="68">
        <f t="shared" si="0"/>
        <v>161.29032258064515</v>
      </c>
      <c r="K25" s="68">
        <f t="shared" si="1"/>
        <v>0</v>
      </c>
      <c r="L25" s="68">
        <f t="shared" si="2"/>
        <v>8.064516129032258</v>
      </c>
      <c r="M25" s="68"/>
      <c r="N25" s="68">
        <f t="shared" si="14"/>
        <v>25.806451612903224</v>
      </c>
      <c r="O25" s="68"/>
      <c r="P25" s="68">
        <f>((6266)/I$3)*I25</f>
        <v>202.12903225806451</v>
      </c>
      <c r="Q25" s="68">
        <v>0</v>
      </c>
      <c r="R25" s="68">
        <v>0</v>
      </c>
      <c r="S25" s="68">
        <f t="shared" si="3"/>
        <v>397.29032258064512</v>
      </c>
      <c r="T25" s="69">
        <f t="shared" si="4"/>
        <v>19.354838709677416</v>
      </c>
      <c r="U25" s="69">
        <f t="shared" si="13"/>
        <v>7</v>
      </c>
      <c r="V25" s="68">
        <v>0</v>
      </c>
      <c r="W25" s="68">
        <v>12</v>
      </c>
      <c r="X25" s="68">
        <f t="shared" si="5"/>
        <v>38.354838709677416</v>
      </c>
      <c r="Y25" s="68">
        <f t="shared" si="6"/>
        <v>358.93548387096769</v>
      </c>
      <c r="Z25" s="68"/>
      <c r="AA25" s="68">
        <f t="shared" si="7"/>
        <v>358.93548387096769</v>
      </c>
      <c r="AB25" s="69">
        <f t="shared" si="8"/>
        <v>21.20967741935484</v>
      </c>
      <c r="AC25" s="69">
        <f t="shared" si="9"/>
        <v>19</v>
      </c>
      <c r="AD25" s="70">
        <f t="shared" si="10"/>
        <v>36</v>
      </c>
      <c r="AE25" s="71">
        <f t="shared" si="11"/>
        <v>76.209677419354847</v>
      </c>
      <c r="AF25" s="71">
        <f t="shared" si="12"/>
        <v>473.5</v>
      </c>
    </row>
    <row r="26" spans="1:32" x14ac:dyDescent="0.2">
      <c r="A26" s="64" t="s">
        <v>117</v>
      </c>
      <c r="B26" s="65">
        <v>21</v>
      </c>
      <c r="C26" s="65" t="s">
        <v>113</v>
      </c>
      <c r="D26" s="64" t="s">
        <v>117</v>
      </c>
      <c r="E26" s="66" t="s">
        <v>50</v>
      </c>
      <c r="F26" s="66" t="s">
        <v>234</v>
      </c>
      <c r="G26" s="67">
        <v>42583</v>
      </c>
      <c r="H26" s="67"/>
      <c r="I26" s="65">
        <v>37</v>
      </c>
      <c r="J26" s="68">
        <f t="shared" si="0"/>
        <v>5967.7419354838703</v>
      </c>
      <c r="K26" s="68">
        <f t="shared" si="1"/>
        <v>0</v>
      </c>
      <c r="L26" s="68">
        <f t="shared" si="2"/>
        <v>298.38709677419354</v>
      </c>
      <c r="M26" s="68"/>
      <c r="N26" s="68">
        <f t="shared" si="14"/>
        <v>954.83870967741927</v>
      </c>
      <c r="O26" s="68"/>
      <c r="P26" s="68">
        <f>((1950+1441+1043+814+1603)/I$3)*I26</f>
        <v>8177</v>
      </c>
      <c r="Q26" s="68">
        <v>0</v>
      </c>
      <c r="R26" s="68">
        <v>0</v>
      </c>
      <c r="S26" s="68">
        <f t="shared" si="3"/>
        <v>15397.967741935483</v>
      </c>
      <c r="T26" s="69">
        <f t="shared" si="4"/>
        <v>716.1290322580644</v>
      </c>
      <c r="U26" s="69">
        <f t="shared" si="13"/>
        <v>270</v>
      </c>
      <c r="V26" s="68">
        <v>0</v>
      </c>
      <c r="W26" s="68">
        <v>12</v>
      </c>
      <c r="X26" s="68">
        <f t="shared" si="5"/>
        <v>998.1290322580644</v>
      </c>
      <c r="Y26" s="68">
        <f t="shared" si="6"/>
        <v>14399.838709677419</v>
      </c>
      <c r="Z26" s="68"/>
      <c r="AA26" s="68">
        <f t="shared" si="7"/>
        <v>14399.838709677419</v>
      </c>
      <c r="AB26" s="69">
        <f t="shared" si="8"/>
        <v>784.75806451612902</v>
      </c>
      <c r="AC26" s="69">
        <f t="shared" si="9"/>
        <v>732</v>
      </c>
      <c r="AD26" s="70">
        <f t="shared" si="10"/>
        <v>36</v>
      </c>
      <c r="AE26" s="71">
        <f t="shared" si="11"/>
        <v>1552.758064516129</v>
      </c>
      <c r="AF26" s="71">
        <f t="shared" si="12"/>
        <v>16950.725806451614</v>
      </c>
    </row>
    <row r="27" spans="1:32" x14ac:dyDescent="0.2">
      <c r="A27" s="64" t="s">
        <v>118</v>
      </c>
      <c r="B27" s="65">
        <v>22</v>
      </c>
      <c r="C27" s="65" t="s">
        <v>114</v>
      </c>
      <c r="D27" s="64" t="s">
        <v>118</v>
      </c>
      <c r="E27" s="66" t="s">
        <v>50</v>
      </c>
      <c r="F27" s="66" t="s">
        <v>238</v>
      </c>
      <c r="G27" s="67">
        <v>42583</v>
      </c>
      <c r="H27" s="67"/>
      <c r="I27" s="65">
        <v>36</v>
      </c>
      <c r="J27" s="68">
        <f t="shared" si="0"/>
        <v>5806.4516129032254</v>
      </c>
      <c r="K27" s="68">
        <f t="shared" si="1"/>
        <v>0</v>
      </c>
      <c r="L27" s="68">
        <f t="shared" si="2"/>
        <v>290.32258064516128</v>
      </c>
      <c r="M27" s="68"/>
      <c r="N27" s="68">
        <f t="shared" si="14"/>
        <v>929.0322580645161</v>
      </c>
      <c r="O27" s="68"/>
      <c r="P27" s="68">
        <f>((1950+1441+839+1018)/I$3)*I27</f>
        <v>6094.4516129032254</v>
      </c>
      <c r="Q27" s="68">
        <v>0</v>
      </c>
      <c r="R27" s="68">
        <v>0</v>
      </c>
      <c r="S27" s="68">
        <f t="shared" si="3"/>
        <v>13120.258064516129</v>
      </c>
      <c r="T27" s="69">
        <f t="shared" si="4"/>
        <v>696.77419354838707</v>
      </c>
      <c r="U27" s="69">
        <f t="shared" si="13"/>
        <v>230</v>
      </c>
      <c r="V27" s="68">
        <v>0</v>
      </c>
      <c r="W27" s="68">
        <v>12</v>
      </c>
      <c r="X27" s="68">
        <f t="shared" si="5"/>
        <v>938.77419354838707</v>
      </c>
      <c r="Y27" s="68">
        <f t="shared" si="6"/>
        <v>12181.483870967742</v>
      </c>
      <c r="Z27" s="68"/>
      <c r="AA27" s="68">
        <f t="shared" si="7"/>
        <v>12181.483870967742</v>
      </c>
      <c r="AB27" s="69">
        <f t="shared" si="8"/>
        <v>763.54838709677415</v>
      </c>
      <c r="AC27" s="69">
        <f t="shared" si="9"/>
        <v>624</v>
      </c>
      <c r="AD27" s="70">
        <f t="shared" si="10"/>
        <v>36</v>
      </c>
      <c r="AE27" s="71">
        <f t="shared" si="11"/>
        <v>1423.5483870967741</v>
      </c>
      <c r="AF27" s="71">
        <f t="shared" si="12"/>
        <v>14543.806451612903</v>
      </c>
    </row>
    <row r="28" spans="1:32" x14ac:dyDescent="0.2">
      <c r="A28" s="64" t="s">
        <v>119</v>
      </c>
      <c r="B28" s="65">
        <v>23</v>
      </c>
      <c r="C28" s="65" t="s">
        <v>480</v>
      </c>
      <c r="D28" s="64" t="s">
        <v>119</v>
      </c>
      <c r="E28" s="66" t="s">
        <v>50</v>
      </c>
      <c r="F28" s="66" t="s">
        <v>484</v>
      </c>
      <c r="G28" s="67">
        <v>42583</v>
      </c>
      <c r="H28" s="67"/>
      <c r="I28" s="65">
        <v>35</v>
      </c>
      <c r="J28" s="68">
        <f t="shared" si="0"/>
        <v>5645.1612903225805</v>
      </c>
      <c r="K28" s="68">
        <f t="shared" si="1"/>
        <v>0</v>
      </c>
      <c r="L28" s="68">
        <f t="shared" si="2"/>
        <v>282.25806451612902</v>
      </c>
      <c r="M28" s="68"/>
      <c r="N28" s="68">
        <f t="shared" si="14"/>
        <v>903.22580645161281</v>
      </c>
      <c r="O28" s="68"/>
      <c r="P28" s="68">
        <f>((1950+1441+1043+814+0)/I$3)*I28</f>
        <v>5925.1612903225805</v>
      </c>
      <c r="Q28" s="68">
        <v>0</v>
      </c>
      <c r="R28" s="68">
        <v>0</v>
      </c>
      <c r="S28" s="68">
        <f t="shared" si="3"/>
        <v>12755.806451612902</v>
      </c>
      <c r="T28" s="69">
        <f t="shared" si="4"/>
        <v>677.41935483870964</v>
      </c>
      <c r="U28" s="69">
        <f t="shared" si="13"/>
        <v>224</v>
      </c>
      <c r="V28" s="68">
        <v>0</v>
      </c>
      <c r="W28" s="68">
        <v>12</v>
      </c>
      <c r="X28" s="68">
        <f t="shared" si="5"/>
        <v>913.41935483870964</v>
      </c>
      <c r="Y28" s="68">
        <f t="shared" si="6"/>
        <v>11842.387096774191</v>
      </c>
      <c r="Z28" s="68"/>
      <c r="AA28" s="68">
        <f t="shared" si="7"/>
        <v>11842.387096774191</v>
      </c>
      <c r="AB28" s="69">
        <f t="shared" si="8"/>
        <v>742.33870967741939</v>
      </c>
      <c r="AC28" s="69">
        <f t="shared" si="9"/>
        <v>606</v>
      </c>
      <c r="AD28" s="70">
        <f t="shared" si="10"/>
        <v>36</v>
      </c>
      <c r="AE28" s="71">
        <f t="shared" si="11"/>
        <v>1384.3387096774195</v>
      </c>
      <c r="AF28" s="71">
        <f t="shared" si="12"/>
        <v>14140.145161290322</v>
      </c>
    </row>
    <row r="29" spans="1:32" x14ac:dyDescent="0.2">
      <c r="A29" s="64" t="s">
        <v>857</v>
      </c>
      <c r="B29" s="65">
        <v>24</v>
      </c>
      <c r="C29" s="65" t="s">
        <v>714</v>
      </c>
      <c r="D29" s="64" t="s">
        <v>857</v>
      </c>
      <c r="E29" s="66" t="s">
        <v>50</v>
      </c>
      <c r="F29" s="65" t="s">
        <v>484</v>
      </c>
      <c r="G29" s="67">
        <v>42600</v>
      </c>
      <c r="H29" s="67"/>
      <c r="I29" s="65">
        <v>35</v>
      </c>
      <c r="J29" s="68">
        <f t="shared" si="0"/>
        <v>5645.1612903225805</v>
      </c>
      <c r="K29" s="68">
        <f t="shared" si="1"/>
        <v>0</v>
      </c>
      <c r="L29" s="68">
        <f t="shared" si="2"/>
        <v>282.25806451612902</v>
      </c>
      <c r="M29" s="68"/>
      <c r="N29" s="68">
        <f t="shared" si="14"/>
        <v>903.22580645161281</v>
      </c>
      <c r="O29" s="68"/>
      <c r="P29" s="68">
        <f>((1950+1441-178+1017+967)/I$3)*I29</f>
        <v>5867.5806451612907</v>
      </c>
      <c r="Q29" s="68">
        <v>0</v>
      </c>
      <c r="R29" s="68">
        <v>0</v>
      </c>
      <c r="S29" s="68">
        <f t="shared" si="3"/>
        <v>12698.225806451614</v>
      </c>
      <c r="T29" s="69">
        <f t="shared" si="4"/>
        <v>677.41935483870964</v>
      </c>
      <c r="U29" s="69">
        <f t="shared" si="13"/>
        <v>223</v>
      </c>
      <c r="V29" s="68">
        <v>0</v>
      </c>
      <c r="W29" s="68">
        <v>12</v>
      </c>
      <c r="X29" s="68">
        <f t="shared" si="5"/>
        <v>912.41935483870964</v>
      </c>
      <c r="Y29" s="68">
        <f t="shared" si="6"/>
        <v>11785.806451612903</v>
      </c>
      <c r="Z29" s="68"/>
      <c r="AA29" s="68">
        <f t="shared" si="7"/>
        <v>11785.806451612903</v>
      </c>
      <c r="AB29" s="69">
        <f t="shared" si="8"/>
        <v>742.33870967741939</v>
      </c>
      <c r="AC29" s="69">
        <f t="shared" si="9"/>
        <v>604</v>
      </c>
      <c r="AD29" s="70">
        <f t="shared" si="10"/>
        <v>36</v>
      </c>
      <c r="AE29" s="71">
        <f t="shared" si="11"/>
        <v>1382.3387096774195</v>
      </c>
      <c r="AF29" s="71">
        <f t="shared" si="12"/>
        <v>14080.564516129034</v>
      </c>
    </row>
    <row r="30" spans="1:32" x14ac:dyDescent="0.2">
      <c r="A30" s="64" t="s">
        <v>604</v>
      </c>
      <c r="B30" s="65">
        <v>25</v>
      </c>
      <c r="C30" s="65" t="s">
        <v>371</v>
      </c>
      <c r="D30" s="64" t="s">
        <v>604</v>
      </c>
      <c r="E30" s="66" t="s">
        <v>50</v>
      </c>
      <c r="F30" s="66" t="s">
        <v>234</v>
      </c>
      <c r="G30" s="67">
        <v>42856</v>
      </c>
      <c r="H30" s="67"/>
      <c r="I30" s="65">
        <v>19</v>
      </c>
      <c r="J30" s="68">
        <f t="shared" si="0"/>
        <v>3064.516129032258</v>
      </c>
      <c r="K30" s="68">
        <f t="shared" si="1"/>
        <v>0</v>
      </c>
      <c r="L30" s="68">
        <f t="shared" si="2"/>
        <v>153.2258064516129</v>
      </c>
      <c r="M30" s="68"/>
      <c r="N30" s="68">
        <f t="shared" si="14"/>
        <v>490.32258064516128</v>
      </c>
      <c r="O30" s="68"/>
      <c r="P30" s="68">
        <f>((1950+1441-178+1017+1018+1069)/I$3)*I30</f>
        <v>3871.7096774193551</v>
      </c>
      <c r="Q30" s="68">
        <v>0</v>
      </c>
      <c r="R30" s="68">
        <v>0</v>
      </c>
      <c r="S30" s="68">
        <f t="shared" si="3"/>
        <v>7579.7741935483873</v>
      </c>
      <c r="T30" s="69">
        <f t="shared" si="4"/>
        <v>367.74193548387098</v>
      </c>
      <c r="U30" s="69">
        <f t="shared" si="13"/>
        <v>133</v>
      </c>
      <c r="V30" s="68">
        <v>0</v>
      </c>
      <c r="W30" s="68">
        <v>12</v>
      </c>
      <c r="X30" s="68">
        <f t="shared" si="5"/>
        <v>512.74193548387098</v>
      </c>
      <c r="Y30" s="68">
        <f t="shared" si="6"/>
        <v>7067.0322580645161</v>
      </c>
      <c r="Z30" s="68"/>
      <c r="AA30" s="68">
        <f t="shared" si="7"/>
        <v>7067.0322580645161</v>
      </c>
      <c r="AB30" s="69">
        <f t="shared" si="8"/>
        <v>402.98387096774195</v>
      </c>
      <c r="AC30" s="69">
        <f t="shared" si="9"/>
        <v>361</v>
      </c>
      <c r="AD30" s="70">
        <f t="shared" si="10"/>
        <v>36</v>
      </c>
      <c r="AE30" s="71">
        <f t="shared" si="11"/>
        <v>799.98387096774195</v>
      </c>
      <c r="AF30" s="71">
        <f t="shared" si="12"/>
        <v>8379.7580645161288</v>
      </c>
    </row>
    <row r="31" spans="1:32" x14ac:dyDescent="0.2">
      <c r="A31" s="64" t="s">
        <v>353</v>
      </c>
      <c r="B31" s="65">
        <v>26</v>
      </c>
      <c r="C31" s="65" t="s">
        <v>579</v>
      </c>
      <c r="D31" s="64" t="s">
        <v>353</v>
      </c>
      <c r="E31" s="66" t="s">
        <v>50</v>
      </c>
      <c r="F31" s="65" t="s">
        <v>239</v>
      </c>
      <c r="G31" s="67">
        <v>42854</v>
      </c>
      <c r="H31" s="67"/>
      <c r="I31" s="65">
        <v>18</v>
      </c>
      <c r="J31" s="68">
        <f t="shared" si="0"/>
        <v>2903.2258064516127</v>
      </c>
      <c r="K31" s="68">
        <f t="shared" si="1"/>
        <v>0</v>
      </c>
      <c r="L31" s="68">
        <f t="shared" si="2"/>
        <v>145.16129032258064</v>
      </c>
      <c r="M31" s="68"/>
      <c r="N31" s="68">
        <f t="shared" si="14"/>
        <v>464.51612903225805</v>
      </c>
      <c r="O31" s="68"/>
      <c r="P31" s="68">
        <f>((1950+1441-178+1017+1018+0)/I$3)*I31</f>
        <v>3047.2258064516127</v>
      </c>
      <c r="Q31" s="68">
        <v>0</v>
      </c>
      <c r="R31" s="68">
        <v>0</v>
      </c>
      <c r="S31" s="68">
        <f t="shared" si="3"/>
        <v>6560.1290322580644</v>
      </c>
      <c r="T31" s="69">
        <f t="shared" si="4"/>
        <v>348.38709677419354</v>
      </c>
      <c r="U31" s="69">
        <f t="shared" si="13"/>
        <v>115</v>
      </c>
      <c r="V31" s="68">
        <v>0</v>
      </c>
      <c r="W31" s="68">
        <v>12</v>
      </c>
      <c r="X31" s="68">
        <f t="shared" si="5"/>
        <v>475.38709677419354</v>
      </c>
      <c r="Y31" s="68">
        <f t="shared" si="6"/>
        <v>6084.7419354838712</v>
      </c>
      <c r="Z31" s="68"/>
      <c r="AA31" s="68">
        <f t="shared" si="7"/>
        <v>6084.7419354838712</v>
      </c>
      <c r="AB31" s="69">
        <f t="shared" si="8"/>
        <v>381.77419354838707</v>
      </c>
      <c r="AC31" s="69">
        <f t="shared" si="9"/>
        <v>312</v>
      </c>
      <c r="AD31" s="70">
        <f t="shared" si="10"/>
        <v>36</v>
      </c>
      <c r="AE31" s="71">
        <f t="shared" si="11"/>
        <v>729.77419354838707</v>
      </c>
      <c r="AF31" s="71">
        <f t="shared" si="12"/>
        <v>7289.9032258064517</v>
      </c>
    </row>
    <row r="32" spans="1:32" x14ac:dyDescent="0.2">
      <c r="A32" s="64" t="s">
        <v>141</v>
      </c>
      <c r="B32" s="65">
        <v>27</v>
      </c>
      <c r="C32" s="65" t="s">
        <v>128</v>
      </c>
      <c r="D32" s="64" t="s">
        <v>141</v>
      </c>
      <c r="E32" s="66" t="s">
        <v>50</v>
      </c>
      <c r="F32" s="66" t="s">
        <v>484</v>
      </c>
      <c r="G32" s="67">
        <v>42646</v>
      </c>
      <c r="H32" s="67"/>
      <c r="I32" s="65">
        <v>35</v>
      </c>
      <c r="J32" s="68">
        <f t="shared" si="0"/>
        <v>5645.1612903225805</v>
      </c>
      <c r="K32" s="68">
        <f t="shared" si="1"/>
        <v>0</v>
      </c>
      <c r="L32" s="68">
        <f t="shared" si="2"/>
        <v>282.25806451612902</v>
      </c>
      <c r="M32" s="68"/>
      <c r="N32" s="68">
        <f t="shared" si="14"/>
        <v>903.22580645161281</v>
      </c>
      <c r="O32" s="68"/>
      <c r="P32" s="68">
        <f>((1950+1441+839+0)/I$3)*I32</f>
        <v>4775.8064516129025</v>
      </c>
      <c r="Q32" s="68">
        <v>0</v>
      </c>
      <c r="R32" s="68">
        <v>0</v>
      </c>
      <c r="S32" s="68">
        <f t="shared" si="3"/>
        <v>11606.451612903224</v>
      </c>
      <c r="T32" s="69">
        <f t="shared" si="4"/>
        <v>677.41935483870964</v>
      </c>
      <c r="U32" s="69">
        <f t="shared" si="13"/>
        <v>204</v>
      </c>
      <c r="V32" s="68">
        <v>0</v>
      </c>
      <c r="W32" s="68">
        <v>12</v>
      </c>
      <c r="X32" s="68">
        <f t="shared" si="5"/>
        <v>893.41935483870964</v>
      </c>
      <c r="Y32" s="68">
        <f t="shared" si="6"/>
        <v>10713.032258064513</v>
      </c>
      <c r="Z32" s="68"/>
      <c r="AA32" s="68">
        <f t="shared" si="7"/>
        <v>10713.032258064513</v>
      </c>
      <c r="AB32" s="69">
        <f t="shared" si="8"/>
        <v>742.33870967741939</v>
      </c>
      <c r="AC32" s="69">
        <f t="shared" si="9"/>
        <v>552</v>
      </c>
      <c r="AD32" s="70">
        <f t="shared" si="10"/>
        <v>36</v>
      </c>
      <c r="AE32" s="71">
        <f t="shared" si="11"/>
        <v>1330.3387096774195</v>
      </c>
      <c r="AF32" s="71">
        <f t="shared" si="12"/>
        <v>12936.790322580644</v>
      </c>
    </row>
    <row r="33" spans="1:32" x14ac:dyDescent="0.2">
      <c r="A33" s="64" t="s">
        <v>219</v>
      </c>
      <c r="B33" s="65">
        <v>28</v>
      </c>
      <c r="C33" s="65" t="s">
        <v>220</v>
      </c>
      <c r="D33" s="64" t="s">
        <v>219</v>
      </c>
      <c r="E33" s="66" t="s">
        <v>50</v>
      </c>
      <c r="F33" s="66" t="s">
        <v>234</v>
      </c>
      <c r="G33" s="67">
        <v>42767</v>
      </c>
      <c r="H33" s="67"/>
      <c r="I33" s="65">
        <v>30</v>
      </c>
      <c r="J33" s="68">
        <f t="shared" si="0"/>
        <v>4838.7096774193542</v>
      </c>
      <c r="K33" s="68">
        <f t="shared" si="1"/>
        <v>0</v>
      </c>
      <c r="L33" s="68">
        <f t="shared" si="2"/>
        <v>241.93548387096772</v>
      </c>
      <c r="M33" s="68"/>
      <c r="N33" s="68">
        <f t="shared" si="14"/>
        <v>774.19354838709671</v>
      </c>
      <c r="O33" s="68"/>
      <c r="P33" s="68">
        <f>((5197+1120)/I$3)*I33</f>
        <v>6113.2258064516127</v>
      </c>
      <c r="Q33" s="68">
        <v>0</v>
      </c>
      <c r="R33" s="68">
        <v>0</v>
      </c>
      <c r="S33" s="68">
        <f t="shared" si="3"/>
        <v>11968.06451612903</v>
      </c>
      <c r="T33" s="69">
        <f t="shared" si="4"/>
        <v>580.64516129032245</v>
      </c>
      <c r="U33" s="69">
        <f t="shared" si="13"/>
        <v>210</v>
      </c>
      <c r="V33" s="68">
        <v>0</v>
      </c>
      <c r="W33" s="68">
        <v>12</v>
      </c>
      <c r="X33" s="68">
        <f t="shared" si="5"/>
        <v>802.64516129032245</v>
      </c>
      <c r="Y33" s="68">
        <f t="shared" si="6"/>
        <v>11165.419354838708</v>
      </c>
      <c r="Z33" s="68"/>
      <c r="AA33" s="68">
        <f t="shared" si="7"/>
        <v>11165.419354838708</v>
      </c>
      <c r="AB33" s="69">
        <f t="shared" si="8"/>
        <v>636.29032258064512</v>
      </c>
      <c r="AC33" s="69">
        <f t="shared" si="9"/>
        <v>569</v>
      </c>
      <c r="AD33" s="70">
        <f t="shared" si="10"/>
        <v>36</v>
      </c>
      <c r="AE33" s="71">
        <f t="shared" si="11"/>
        <v>1241.2903225806451</v>
      </c>
      <c r="AF33" s="71">
        <f t="shared" si="12"/>
        <v>13209.354838709676</v>
      </c>
    </row>
    <row r="34" spans="1:32" x14ac:dyDescent="0.2">
      <c r="A34" s="64" t="s">
        <v>142</v>
      </c>
      <c r="B34" s="65">
        <v>29</v>
      </c>
      <c r="C34" s="65" t="s">
        <v>486</v>
      </c>
      <c r="D34" s="64" t="s">
        <v>142</v>
      </c>
      <c r="E34" s="66" t="s">
        <v>50</v>
      </c>
      <c r="F34" s="66" t="s">
        <v>484</v>
      </c>
      <c r="G34" s="67">
        <v>42648</v>
      </c>
      <c r="H34" s="67"/>
      <c r="I34" s="65">
        <v>36</v>
      </c>
      <c r="J34" s="68">
        <f t="shared" si="0"/>
        <v>5806.4516129032254</v>
      </c>
      <c r="K34" s="68">
        <f t="shared" si="1"/>
        <v>0</v>
      </c>
      <c r="L34" s="68">
        <f t="shared" si="2"/>
        <v>290.32258064516128</v>
      </c>
      <c r="M34" s="68"/>
      <c r="N34" s="68">
        <f t="shared" si="14"/>
        <v>929.0322580645161</v>
      </c>
      <c r="O34" s="68"/>
      <c r="P34" s="68">
        <f>((1950+1441+839+0)/I$3)*I34</f>
        <v>4912.2580645161288</v>
      </c>
      <c r="Q34" s="68">
        <v>0</v>
      </c>
      <c r="R34" s="68">
        <v>0</v>
      </c>
      <c r="S34" s="68">
        <f t="shared" si="3"/>
        <v>11938.06451612903</v>
      </c>
      <c r="T34" s="69">
        <f t="shared" si="4"/>
        <v>696.77419354838707</v>
      </c>
      <c r="U34" s="69">
        <f t="shared" si="13"/>
        <v>209</v>
      </c>
      <c r="V34" s="68">
        <v>0</v>
      </c>
      <c r="W34" s="68">
        <v>12</v>
      </c>
      <c r="X34" s="68">
        <f t="shared" si="5"/>
        <v>917.77419354838707</v>
      </c>
      <c r="Y34" s="68">
        <f t="shared" si="6"/>
        <v>11020.290322580644</v>
      </c>
      <c r="Z34" s="68"/>
      <c r="AA34" s="68">
        <f t="shared" si="7"/>
        <v>11020.290322580644</v>
      </c>
      <c r="AB34" s="69">
        <f t="shared" si="8"/>
        <v>763.54838709677415</v>
      </c>
      <c r="AC34" s="69">
        <f t="shared" si="9"/>
        <v>568</v>
      </c>
      <c r="AD34" s="70">
        <f t="shared" si="10"/>
        <v>36</v>
      </c>
      <c r="AE34" s="71">
        <f t="shared" si="11"/>
        <v>1367.5483870967741</v>
      </c>
      <c r="AF34" s="71">
        <f t="shared" si="12"/>
        <v>13305.612903225805</v>
      </c>
    </row>
    <row r="35" spans="1:32" x14ac:dyDescent="0.2">
      <c r="A35" s="64" t="s">
        <v>333</v>
      </c>
      <c r="B35" s="65">
        <v>30</v>
      </c>
      <c r="C35" s="65" t="s">
        <v>738</v>
      </c>
      <c r="D35" s="64" t="s">
        <v>333</v>
      </c>
      <c r="E35" s="66" t="s">
        <v>50</v>
      </c>
      <c r="F35" s="66" t="s">
        <v>234</v>
      </c>
      <c r="G35" s="67">
        <v>42431</v>
      </c>
      <c r="H35" s="67"/>
      <c r="I35" s="65">
        <v>35</v>
      </c>
      <c r="J35" s="68">
        <f t="shared" si="0"/>
        <v>5645.1612903225805</v>
      </c>
      <c r="K35" s="68">
        <f t="shared" si="1"/>
        <v>0</v>
      </c>
      <c r="L35" s="68">
        <f t="shared" si="2"/>
        <v>282.25806451612902</v>
      </c>
      <c r="M35" s="68"/>
      <c r="N35" s="68">
        <f t="shared" si="14"/>
        <v>903.22580645161281</v>
      </c>
      <c r="O35" s="68"/>
      <c r="P35" s="68">
        <f>((6317)/I$3)*I35</f>
        <v>7132.0967741935483</v>
      </c>
      <c r="Q35" s="68">
        <v>0</v>
      </c>
      <c r="R35" s="68">
        <v>0</v>
      </c>
      <c r="S35" s="68">
        <f t="shared" si="3"/>
        <v>13962.741935483871</v>
      </c>
      <c r="T35" s="69">
        <f t="shared" si="4"/>
        <v>677.41935483870964</v>
      </c>
      <c r="U35" s="69">
        <f t="shared" si="13"/>
        <v>245</v>
      </c>
      <c r="V35" s="68">
        <v>0</v>
      </c>
      <c r="W35" s="68">
        <v>12</v>
      </c>
      <c r="X35" s="68">
        <f t="shared" si="5"/>
        <v>934.41935483870964</v>
      </c>
      <c r="Y35" s="68">
        <f t="shared" si="6"/>
        <v>13028.322580645161</v>
      </c>
      <c r="Z35" s="68"/>
      <c r="AA35" s="68">
        <f t="shared" si="7"/>
        <v>13028.322580645161</v>
      </c>
      <c r="AB35" s="69">
        <f t="shared" si="8"/>
        <v>742.33870967741939</v>
      </c>
      <c r="AC35" s="69">
        <f t="shared" si="9"/>
        <v>664</v>
      </c>
      <c r="AD35" s="70">
        <f t="shared" si="10"/>
        <v>36</v>
      </c>
      <c r="AE35" s="71">
        <f t="shared" si="11"/>
        <v>1442.3387096774195</v>
      </c>
      <c r="AF35" s="71">
        <f t="shared" si="12"/>
        <v>15405.080645161292</v>
      </c>
    </row>
    <row r="36" spans="1:32" x14ac:dyDescent="0.2">
      <c r="A36" s="64" t="s">
        <v>159</v>
      </c>
      <c r="B36" s="65">
        <v>31</v>
      </c>
      <c r="C36" s="65" t="s">
        <v>135</v>
      </c>
      <c r="D36" s="64" t="s">
        <v>159</v>
      </c>
      <c r="E36" s="66" t="s">
        <v>50</v>
      </c>
      <c r="F36" s="66" t="s">
        <v>241</v>
      </c>
      <c r="G36" s="67">
        <v>42689</v>
      </c>
      <c r="H36" s="67"/>
      <c r="I36" s="65">
        <v>37</v>
      </c>
      <c r="J36" s="68">
        <f t="shared" si="0"/>
        <v>5967.7419354838703</v>
      </c>
      <c r="K36" s="68">
        <f t="shared" si="1"/>
        <v>0</v>
      </c>
      <c r="L36" s="68">
        <f t="shared" si="2"/>
        <v>298.38709677419354</v>
      </c>
      <c r="M36" s="68"/>
      <c r="N36" s="68">
        <f t="shared" si="14"/>
        <v>954.83870967741927</v>
      </c>
      <c r="O36" s="68"/>
      <c r="P36" s="68">
        <f>((9014+0)/I$3)*I36</f>
        <v>10758.645161290322</v>
      </c>
      <c r="Q36" s="68">
        <v>0</v>
      </c>
      <c r="R36" s="68">
        <v>0</v>
      </c>
      <c r="S36" s="68">
        <f t="shared" si="3"/>
        <v>17979.612903225803</v>
      </c>
      <c r="T36" s="69">
        <f t="shared" si="4"/>
        <v>716.1290322580644</v>
      </c>
      <c r="U36" s="69">
        <f t="shared" si="13"/>
        <v>315</v>
      </c>
      <c r="V36" s="68">
        <v>0</v>
      </c>
      <c r="W36" s="68">
        <v>12</v>
      </c>
      <c r="X36" s="68">
        <f t="shared" si="5"/>
        <v>1043.1290322580644</v>
      </c>
      <c r="Y36" s="68">
        <f t="shared" si="6"/>
        <v>16936.483870967739</v>
      </c>
      <c r="Z36" s="68"/>
      <c r="AA36" s="68">
        <f t="shared" si="7"/>
        <v>16936.483870967739</v>
      </c>
      <c r="AB36" s="69">
        <f t="shared" si="8"/>
        <v>784.75806451612902</v>
      </c>
      <c r="AC36" s="69">
        <f t="shared" si="9"/>
        <v>855</v>
      </c>
      <c r="AD36" s="70">
        <f t="shared" si="10"/>
        <v>36</v>
      </c>
      <c r="AE36" s="71">
        <f t="shared" si="11"/>
        <v>1675.758064516129</v>
      </c>
      <c r="AF36" s="71">
        <f t="shared" si="12"/>
        <v>19655.370967741932</v>
      </c>
    </row>
    <row r="37" spans="1:32" x14ac:dyDescent="0.2">
      <c r="A37" s="64" t="s">
        <v>160</v>
      </c>
      <c r="B37" s="65">
        <v>32</v>
      </c>
      <c r="C37" s="65" t="s">
        <v>198</v>
      </c>
      <c r="D37" s="64" t="s">
        <v>160</v>
      </c>
      <c r="E37" s="66" t="s">
        <v>50</v>
      </c>
      <c r="F37" s="66" t="s">
        <v>240</v>
      </c>
      <c r="G37" s="67">
        <v>42675</v>
      </c>
      <c r="H37" s="67"/>
      <c r="I37" s="65">
        <v>33</v>
      </c>
      <c r="J37" s="68">
        <f t="shared" si="0"/>
        <v>5322.5806451612898</v>
      </c>
      <c r="K37" s="68">
        <f t="shared" si="1"/>
        <v>0</v>
      </c>
      <c r="L37" s="68">
        <f t="shared" si="2"/>
        <v>266.12903225806451</v>
      </c>
      <c r="M37" s="68"/>
      <c r="N37" s="68">
        <f t="shared" si="14"/>
        <v>851.61290322580635</v>
      </c>
      <c r="O37" s="68"/>
      <c r="P37" s="68">
        <f>((6979+814+0)/I$3)*I37</f>
        <v>8295.7741935483864</v>
      </c>
      <c r="Q37" s="68">
        <v>0</v>
      </c>
      <c r="R37" s="68">
        <v>0</v>
      </c>
      <c r="S37" s="68">
        <f t="shared" si="3"/>
        <v>14736.096774193547</v>
      </c>
      <c r="T37" s="69">
        <f t="shared" si="4"/>
        <v>638.70967741935476</v>
      </c>
      <c r="U37" s="69">
        <f t="shared" si="13"/>
        <v>258</v>
      </c>
      <c r="V37" s="68">
        <v>0</v>
      </c>
      <c r="W37" s="68">
        <v>12</v>
      </c>
      <c r="X37" s="68">
        <f t="shared" si="5"/>
        <v>908.70967741935476</v>
      </c>
      <c r="Y37" s="68">
        <f t="shared" si="6"/>
        <v>13827.387096774193</v>
      </c>
      <c r="Z37" s="68"/>
      <c r="AA37" s="68">
        <f t="shared" si="7"/>
        <v>13827.387096774193</v>
      </c>
      <c r="AB37" s="69">
        <f t="shared" si="8"/>
        <v>699.91935483870964</v>
      </c>
      <c r="AC37" s="69">
        <f t="shared" si="9"/>
        <v>700</v>
      </c>
      <c r="AD37" s="70">
        <f t="shared" si="10"/>
        <v>36</v>
      </c>
      <c r="AE37" s="71">
        <f t="shared" si="11"/>
        <v>1435.9193548387098</v>
      </c>
      <c r="AF37" s="71">
        <f t="shared" si="12"/>
        <v>16172.016129032258</v>
      </c>
    </row>
    <row r="38" spans="1:32" x14ac:dyDescent="0.2">
      <c r="A38" s="64" t="s">
        <v>161</v>
      </c>
      <c r="B38" s="65">
        <v>33</v>
      </c>
      <c r="C38" s="65" t="s">
        <v>203</v>
      </c>
      <c r="D38" s="64" t="s">
        <v>161</v>
      </c>
      <c r="E38" s="66" t="s">
        <v>50</v>
      </c>
      <c r="F38" s="66" t="s">
        <v>241</v>
      </c>
      <c r="G38" s="67">
        <v>42688</v>
      </c>
      <c r="H38" s="67"/>
      <c r="I38" s="65">
        <v>33</v>
      </c>
      <c r="J38" s="68">
        <f t="shared" ref="J38:J69" si="15">(5000/I$3)*I38</f>
        <v>5322.5806451612898</v>
      </c>
      <c r="K38" s="68">
        <f t="shared" si="1"/>
        <v>0</v>
      </c>
      <c r="L38" s="68">
        <f t="shared" si="2"/>
        <v>266.12903225806451</v>
      </c>
      <c r="M38" s="68"/>
      <c r="N38" s="68">
        <f t="shared" si="14"/>
        <v>851.61290322580635</v>
      </c>
      <c r="O38" s="68"/>
      <c r="P38" s="68">
        <f>((1950+1441+839+0)/I$3)*I38</f>
        <v>4502.9032258064508</v>
      </c>
      <c r="Q38" s="68">
        <v>0</v>
      </c>
      <c r="R38" s="68">
        <v>0</v>
      </c>
      <c r="S38" s="68">
        <f t="shared" si="3"/>
        <v>10943.225806451612</v>
      </c>
      <c r="T38" s="69">
        <f t="shared" si="4"/>
        <v>638.70967741935476</v>
      </c>
      <c r="U38" s="69">
        <f t="shared" si="13"/>
        <v>192</v>
      </c>
      <c r="V38" s="68">
        <v>0</v>
      </c>
      <c r="W38" s="68">
        <v>12</v>
      </c>
      <c r="X38" s="68">
        <f t="shared" si="5"/>
        <v>842.70967741935476</v>
      </c>
      <c r="Y38" s="68">
        <f t="shared" si="6"/>
        <v>10100.516129032258</v>
      </c>
      <c r="Z38" s="68"/>
      <c r="AA38" s="68">
        <f t="shared" si="7"/>
        <v>10100.516129032258</v>
      </c>
      <c r="AB38" s="69">
        <f t="shared" si="8"/>
        <v>699.91935483870964</v>
      </c>
      <c r="AC38" s="69">
        <f t="shared" si="9"/>
        <v>520</v>
      </c>
      <c r="AD38" s="70">
        <f t="shared" si="10"/>
        <v>36</v>
      </c>
      <c r="AE38" s="71">
        <f t="shared" si="11"/>
        <v>1255.9193548387098</v>
      </c>
      <c r="AF38" s="71">
        <f t="shared" si="12"/>
        <v>12199.145161290322</v>
      </c>
    </row>
    <row r="39" spans="1:32" x14ac:dyDescent="0.2">
      <c r="A39" s="64" t="s">
        <v>162</v>
      </c>
      <c r="B39" s="65">
        <v>34</v>
      </c>
      <c r="C39" s="65" t="s">
        <v>136</v>
      </c>
      <c r="D39" s="64" t="s">
        <v>162</v>
      </c>
      <c r="E39" s="66" t="s">
        <v>50</v>
      </c>
      <c r="F39" s="65" t="s">
        <v>238</v>
      </c>
      <c r="G39" s="67">
        <v>43087</v>
      </c>
      <c r="H39" s="67"/>
      <c r="I39" s="65">
        <v>17</v>
      </c>
      <c r="J39" s="68">
        <f t="shared" si="15"/>
        <v>2741.9354838709678</v>
      </c>
      <c r="K39" s="68">
        <f t="shared" si="1"/>
        <v>0</v>
      </c>
      <c r="L39" s="68">
        <f t="shared" si="2"/>
        <v>137.09677419354838</v>
      </c>
      <c r="M39" s="68"/>
      <c r="N39" s="68">
        <f t="shared" si="14"/>
        <v>438.70967741935482</v>
      </c>
      <c r="O39" s="68"/>
      <c r="P39" s="68">
        <f>((5248)/I$3)*I39</f>
        <v>2877.9354838709678</v>
      </c>
      <c r="Q39" s="68">
        <v>0</v>
      </c>
      <c r="R39" s="68">
        <v>0</v>
      </c>
      <c r="S39" s="68">
        <f t="shared" si="3"/>
        <v>6195.677419354839</v>
      </c>
      <c r="T39" s="69">
        <f t="shared" si="4"/>
        <v>329.0322580645161</v>
      </c>
      <c r="U39" s="69">
        <f t="shared" si="13"/>
        <v>109</v>
      </c>
      <c r="V39" s="68">
        <v>0</v>
      </c>
      <c r="W39" s="68">
        <v>12</v>
      </c>
      <c r="X39" s="68">
        <f t="shared" si="5"/>
        <v>450.0322580645161</v>
      </c>
      <c r="Y39" s="68">
        <f t="shared" si="6"/>
        <v>5745.6451612903229</v>
      </c>
      <c r="Z39" s="68"/>
      <c r="AA39" s="68">
        <f t="shared" si="7"/>
        <v>5745.6451612903229</v>
      </c>
      <c r="AB39" s="69">
        <f t="shared" si="8"/>
        <v>360.56451612903226</v>
      </c>
      <c r="AC39" s="69">
        <f t="shared" si="9"/>
        <v>295</v>
      </c>
      <c r="AD39" s="70">
        <f t="shared" si="10"/>
        <v>36</v>
      </c>
      <c r="AE39" s="71">
        <f t="shared" si="11"/>
        <v>691.5645161290322</v>
      </c>
      <c r="AF39" s="71">
        <f t="shared" si="12"/>
        <v>6887.2419354838712</v>
      </c>
    </row>
    <row r="40" spans="1:32" x14ac:dyDescent="0.2">
      <c r="A40" s="64" t="s">
        <v>163</v>
      </c>
      <c r="B40" s="65">
        <v>35</v>
      </c>
      <c r="C40" s="65" t="s">
        <v>137</v>
      </c>
      <c r="D40" s="64" t="s">
        <v>163</v>
      </c>
      <c r="E40" s="66" t="s">
        <v>50</v>
      </c>
      <c r="F40" s="66" t="s">
        <v>232</v>
      </c>
      <c r="G40" s="67">
        <v>42701</v>
      </c>
      <c r="H40" s="67"/>
      <c r="I40" s="65">
        <v>35</v>
      </c>
      <c r="J40" s="68">
        <f t="shared" si="15"/>
        <v>5645.1612903225805</v>
      </c>
      <c r="K40" s="68">
        <f t="shared" si="1"/>
        <v>0</v>
      </c>
      <c r="L40" s="68">
        <f t="shared" si="2"/>
        <v>282.25806451612902</v>
      </c>
      <c r="M40" s="68"/>
      <c r="N40" s="68">
        <f t="shared" si="14"/>
        <v>903.22580645161281</v>
      </c>
      <c r="O40" s="68"/>
      <c r="P40" s="68">
        <f>((1950+1441+1043+814+0)/I$3)*I40</f>
        <v>5925.1612903225805</v>
      </c>
      <c r="Q40" s="68">
        <v>0</v>
      </c>
      <c r="R40" s="68">
        <v>0</v>
      </c>
      <c r="S40" s="68">
        <f t="shared" si="3"/>
        <v>12755.806451612902</v>
      </c>
      <c r="T40" s="69">
        <f t="shared" si="4"/>
        <v>677.41935483870964</v>
      </c>
      <c r="U40" s="69">
        <f t="shared" ref="U40:U71" si="16">ROUNDUP((S40*1.75%),0)</f>
        <v>224</v>
      </c>
      <c r="V40" s="68">
        <v>0</v>
      </c>
      <c r="W40" s="68">
        <v>12</v>
      </c>
      <c r="X40" s="68">
        <f t="shared" si="5"/>
        <v>913.41935483870964</v>
      </c>
      <c r="Y40" s="68">
        <f t="shared" si="6"/>
        <v>11842.387096774191</v>
      </c>
      <c r="Z40" s="68"/>
      <c r="AA40" s="68">
        <f t="shared" si="7"/>
        <v>11842.387096774191</v>
      </c>
      <c r="AB40" s="69">
        <f t="shared" si="8"/>
        <v>742.33870967741939</v>
      </c>
      <c r="AC40" s="69">
        <f t="shared" si="9"/>
        <v>606</v>
      </c>
      <c r="AD40" s="70">
        <f t="shared" si="10"/>
        <v>36</v>
      </c>
      <c r="AE40" s="71">
        <f t="shared" si="11"/>
        <v>1384.3387096774195</v>
      </c>
      <c r="AF40" s="71">
        <f t="shared" si="12"/>
        <v>14140.145161290322</v>
      </c>
    </row>
    <row r="41" spans="1:32" x14ac:dyDescent="0.2">
      <c r="A41" s="64" t="s">
        <v>585</v>
      </c>
      <c r="B41" s="65">
        <v>36</v>
      </c>
      <c r="C41" s="65" t="s">
        <v>556</v>
      </c>
      <c r="D41" s="64" t="s">
        <v>585</v>
      </c>
      <c r="E41" s="66" t="s">
        <v>50</v>
      </c>
      <c r="F41" s="65" t="s">
        <v>484</v>
      </c>
      <c r="G41" s="67">
        <v>42702</v>
      </c>
      <c r="H41" s="67"/>
      <c r="I41" s="65">
        <v>36</v>
      </c>
      <c r="J41" s="68">
        <f t="shared" si="15"/>
        <v>5806.4516129032254</v>
      </c>
      <c r="K41" s="68">
        <f t="shared" si="1"/>
        <v>0</v>
      </c>
      <c r="L41" s="68">
        <f t="shared" si="2"/>
        <v>290.32258064516128</v>
      </c>
      <c r="M41" s="68"/>
      <c r="N41" s="68">
        <f t="shared" ref="N41:N72" si="17">((800)/I$3)*I41</f>
        <v>929.0322580645161</v>
      </c>
      <c r="O41" s="68"/>
      <c r="P41" s="68">
        <f>((1950+1441-178+1017+0)/I$3)*I41</f>
        <v>4912.2580645161288</v>
      </c>
      <c r="Q41" s="68">
        <v>0</v>
      </c>
      <c r="R41" s="68">
        <v>0</v>
      </c>
      <c r="S41" s="68">
        <f t="shared" si="3"/>
        <v>11938.06451612903</v>
      </c>
      <c r="T41" s="69">
        <f t="shared" si="4"/>
        <v>696.77419354838707</v>
      </c>
      <c r="U41" s="69">
        <f t="shared" si="16"/>
        <v>209</v>
      </c>
      <c r="V41" s="68">
        <v>0</v>
      </c>
      <c r="W41" s="68">
        <v>12</v>
      </c>
      <c r="X41" s="68">
        <f t="shared" si="5"/>
        <v>917.77419354838707</v>
      </c>
      <c r="Y41" s="68">
        <f t="shared" si="6"/>
        <v>11020.290322580644</v>
      </c>
      <c r="Z41" s="68"/>
      <c r="AA41" s="68">
        <f t="shared" si="7"/>
        <v>11020.290322580644</v>
      </c>
      <c r="AB41" s="69">
        <f t="shared" si="8"/>
        <v>763.54838709677415</v>
      </c>
      <c r="AC41" s="69">
        <f t="shared" si="9"/>
        <v>568</v>
      </c>
      <c r="AD41" s="70">
        <f t="shared" si="10"/>
        <v>36</v>
      </c>
      <c r="AE41" s="71">
        <f t="shared" si="11"/>
        <v>1367.5483870967741</v>
      </c>
      <c r="AF41" s="71">
        <f t="shared" si="12"/>
        <v>13305.612903225805</v>
      </c>
    </row>
    <row r="42" spans="1:32" x14ac:dyDescent="0.2">
      <c r="A42" s="64" t="s">
        <v>904</v>
      </c>
      <c r="B42" s="65">
        <v>37</v>
      </c>
      <c r="C42" s="65" t="s">
        <v>761</v>
      </c>
      <c r="D42" s="64" t="s">
        <v>904</v>
      </c>
      <c r="E42" s="66" t="s">
        <v>50</v>
      </c>
      <c r="F42" s="65" t="s">
        <v>241</v>
      </c>
      <c r="G42" s="67">
        <v>42679</v>
      </c>
      <c r="H42" s="67"/>
      <c r="I42" s="65">
        <v>32</v>
      </c>
      <c r="J42" s="68">
        <f t="shared" si="15"/>
        <v>5161.2903225806449</v>
      </c>
      <c r="K42" s="68">
        <f t="shared" si="1"/>
        <v>0</v>
      </c>
      <c r="L42" s="68">
        <f t="shared" si="2"/>
        <v>258.06451612903226</v>
      </c>
      <c r="M42" s="68"/>
      <c r="N42" s="68">
        <f t="shared" si="17"/>
        <v>825.80645161290317</v>
      </c>
      <c r="O42" s="68"/>
      <c r="P42" s="68">
        <f>((1950+1441-178+1017+0)/I$3)*I42</f>
        <v>4366.4516129032254</v>
      </c>
      <c r="Q42" s="68">
        <v>0</v>
      </c>
      <c r="R42" s="68">
        <v>0</v>
      </c>
      <c r="S42" s="68">
        <f t="shared" si="3"/>
        <v>10611.612903225807</v>
      </c>
      <c r="T42" s="69">
        <f t="shared" si="4"/>
        <v>619.35483870967732</v>
      </c>
      <c r="U42" s="69">
        <f t="shared" si="16"/>
        <v>186</v>
      </c>
      <c r="V42" s="68">
        <v>0</v>
      </c>
      <c r="W42" s="68">
        <v>12</v>
      </c>
      <c r="X42" s="68">
        <f t="shared" si="5"/>
        <v>817.35483870967732</v>
      </c>
      <c r="Y42" s="68">
        <f t="shared" si="6"/>
        <v>9794.2580645161288</v>
      </c>
      <c r="Z42" s="68"/>
      <c r="AA42" s="68">
        <f t="shared" si="7"/>
        <v>9794.2580645161288</v>
      </c>
      <c r="AB42" s="69">
        <f t="shared" si="8"/>
        <v>678.70967741935488</v>
      </c>
      <c r="AC42" s="69">
        <f t="shared" si="9"/>
        <v>505</v>
      </c>
      <c r="AD42" s="70">
        <f t="shared" si="10"/>
        <v>36</v>
      </c>
      <c r="AE42" s="71">
        <f t="shared" si="11"/>
        <v>1219.7096774193549</v>
      </c>
      <c r="AF42" s="71">
        <f t="shared" si="12"/>
        <v>11831.322580645161</v>
      </c>
    </row>
    <row r="43" spans="1:32" x14ac:dyDescent="0.2">
      <c r="A43" s="64" t="s">
        <v>183</v>
      </c>
      <c r="B43" s="65">
        <v>38</v>
      </c>
      <c r="C43" s="65" t="s">
        <v>150</v>
      </c>
      <c r="D43" s="64" t="s">
        <v>183</v>
      </c>
      <c r="E43" s="66" t="s">
        <v>50</v>
      </c>
      <c r="F43" s="66" t="s">
        <v>234</v>
      </c>
      <c r="G43" s="67">
        <v>42705</v>
      </c>
      <c r="H43" s="67"/>
      <c r="I43" s="65">
        <v>36</v>
      </c>
      <c r="J43" s="68">
        <f t="shared" si="15"/>
        <v>5806.4516129032254</v>
      </c>
      <c r="K43" s="68">
        <f t="shared" si="1"/>
        <v>0</v>
      </c>
      <c r="L43" s="68">
        <f t="shared" si="2"/>
        <v>290.32258064516128</v>
      </c>
      <c r="M43" s="68"/>
      <c r="N43" s="68">
        <f t="shared" si="17"/>
        <v>929.0322580645161</v>
      </c>
      <c r="O43" s="68"/>
      <c r="P43" s="68">
        <f>((1950+1441+1043+814+204)/I$3)*I43</f>
        <v>6331.354838709678</v>
      </c>
      <c r="Q43" s="68">
        <v>0</v>
      </c>
      <c r="R43" s="68">
        <v>0</v>
      </c>
      <c r="S43" s="68">
        <f t="shared" si="3"/>
        <v>13357.16129032258</v>
      </c>
      <c r="T43" s="69">
        <f t="shared" si="4"/>
        <v>696.77419354838707</v>
      </c>
      <c r="U43" s="69">
        <f t="shared" si="16"/>
        <v>234</v>
      </c>
      <c r="V43" s="68">
        <v>0</v>
      </c>
      <c r="W43" s="68">
        <v>12</v>
      </c>
      <c r="X43" s="68">
        <f t="shared" si="5"/>
        <v>942.77419354838707</v>
      </c>
      <c r="Y43" s="68">
        <f t="shared" si="6"/>
        <v>12414.387096774193</v>
      </c>
      <c r="Z43" s="68"/>
      <c r="AA43" s="68">
        <f t="shared" si="7"/>
        <v>12414.387096774193</v>
      </c>
      <c r="AB43" s="69">
        <f t="shared" si="8"/>
        <v>763.54838709677415</v>
      </c>
      <c r="AC43" s="69">
        <f t="shared" si="9"/>
        <v>635</v>
      </c>
      <c r="AD43" s="70">
        <f t="shared" si="10"/>
        <v>36</v>
      </c>
      <c r="AE43" s="71">
        <f t="shared" si="11"/>
        <v>1434.5483870967741</v>
      </c>
      <c r="AF43" s="71">
        <f t="shared" si="12"/>
        <v>14791.709677419354</v>
      </c>
    </row>
    <row r="44" spans="1:32" x14ac:dyDescent="0.2">
      <c r="A44" s="64" t="s">
        <v>184</v>
      </c>
      <c r="B44" s="65">
        <v>39</v>
      </c>
      <c r="C44" s="65" t="s">
        <v>151</v>
      </c>
      <c r="D44" s="64" t="s">
        <v>184</v>
      </c>
      <c r="E44" s="66" t="s">
        <v>50</v>
      </c>
      <c r="F44" s="66" t="s">
        <v>242</v>
      </c>
      <c r="G44" s="67">
        <v>42705</v>
      </c>
      <c r="H44" s="67"/>
      <c r="I44" s="65">
        <v>37</v>
      </c>
      <c r="J44" s="68">
        <f t="shared" si="15"/>
        <v>5967.7419354838703</v>
      </c>
      <c r="K44" s="68">
        <f t="shared" si="1"/>
        <v>0</v>
      </c>
      <c r="L44" s="68">
        <f t="shared" si="2"/>
        <v>298.38709677419354</v>
      </c>
      <c r="M44" s="68"/>
      <c r="N44" s="68">
        <f t="shared" si="17"/>
        <v>954.83870967741927</v>
      </c>
      <c r="O44" s="68"/>
      <c r="P44" s="68">
        <f>((1950+1441+839+0)/I$3)*I44</f>
        <v>5048.7096774193542</v>
      </c>
      <c r="Q44" s="68">
        <v>0</v>
      </c>
      <c r="R44" s="68">
        <v>0</v>
      </c>
      <c r="S44" s="68">
        <f t="shared" si="3"/>
        <v>12269.677419354837</v>
      </c>
      <c r="T44" s="69">
        <f t="shared" si="4"/>
        <v>716.1290322580644</v>
      </c>
      <c r="U44" s="69">
        <f t="shared" si="16"/>
        <v>215</v>
      </c>
      <c r="V44" s="68">
        <v>0</v>
      </c>
      <c r="W44" s="68">
        <v>12</v>
      </c>
      <c r="X44" s="68">
        <f t="shared" si="5"/>
        <v>943.1290322580644</v>
      </c>
      <c r="Y44" s="68">
        <f t="shared" si="6"/>
        <v>11326.548387096773</v>
      </c>
      <c r="Z44" s="68"/>
      <c r="AA44" s="68">
        <f t="shared" si="7"/>
        <v>11326.548387096773</v>
      </c>
      <c r="AB44" s="69">
        <f t="shared" si="8"/>
        <v>784.75806451612902</v>
      </c>
      <c r="AC44" s="69">
        <f t="shared" si="9"/>
        <v>583</v>
      </c>
      <c r="AD44" s="70">
        <f t="shared" si="10"/>
        <v>36</v>
      </c>
      <c r="AE44" s="71">
        <f t="shared" si="11"/>
        <v>1403.758064516129</v>
      </c>
      <c r="AF44" s="71">
        <f t="shared" si="12"/>
        <v>13673.435483870966</v>
      </c>
    </row>
    <row r="45" spans="1:32" x14ac:dyDescent="0.2">
      <c r="A45" s="64" t="s">
        <v>185</v>
      </c>
      <c r="B45" s="65">
        <v>40</v>
      </c>
      <c r="C45" s="65" t="s">
        <v>152</v>
      </c>
      <c r="D45" s="64" t="s">
        <v>185</v>
      </c>
      <c r="E45" s="66" t="s">
        <v>50</v>
      </c>
      <c r="F45" s="66" t="s">
        <v>234</v>
      </c>
      <c r="G45" s="67">
        <v>42705</v>
      </c>
      <c r="H45" s="67"/>
      <c r="I45" s="65">
        <v>21</v>
      </c>
      <c r="J45" s="68">
        <f t="shared" si="15"/>
        <v>3387.0967741935483</v>
      </c>
      <c r="K45" s="68">
        <f t="shared" si="1"/>
        <v>0</v>
      </c>
      <c r="L45" s="68">
        <f t="shared" si="2"/>
        <v>169.35483870967744</v>
      </c>
      <c r="M45" s="68"/>
      <c r="N45" s="68">
        <f t="shared" si="17"/>
        <v>541.93548387096769</v>
      </c>
      <c r="O45" s="68"/>
      <c r="P45" s="68">
        <f>((1950+1441+1043+814+0)/I$3)*I45</f>
        <v>3555.0967741935483</v>
      </c>
      <c r="Q45" s="68">
        <v>0</v>
      </c>
      <c r="R45" s="68">
        <v>0</v>
      </c>
      <c r="S45" s="68">
        <f t="shared" si="3"/>
        <v>7653.4838709677415</v>
      </c>
      <c r="T45" s="69">
        <f t="shared" si="4"/>
        <v>406.45161290322579</v>
      </c>
      <c r="U45" s="69">
        <f t="shared" si="16"/>
        <v>134</v>
      </c>
      <c r="V45" s="68">
        <v>0</v>
      </c>
      <c r="W45" s="68">
        <v>12</v>
      </c>
      <c r="X45" s="68">
        <f t="shared" si="5"/>
        <v>552.45161290322585</v>
      </c>
      <c r="Y45" s="68">
        <f t="shared" si="6"/>
        <v>7101.0322580645152</v>
      </c>
      <c r="Z45" s="68"/>
      <c r="AA45" s="68">
        <f t="shared" si="7"/>
        <v>7101.0322580645152</v>
      </c>
      <c r="AB45" s="69">
        <f t="shared" si="8"/>
        <v>445.40322580645164</v>
      </c>
      <c r="AC45" s="69">
        <f t="shared" si="9"/>
        <v>364</v>
      </c>
      <c r="AD45" s="70">
        <f t="shared" si="10"/>
        <v>36</v>
      </c>
      <c r="AE45" s="71">
        <f t="shared" si="11"/>
        <v>845.4032258064517</v>
      </c>
      <c r="AF45" s="71">
        <f t="shared" si="12"/>
        <v>8498.8870967741932</v>
      </c>
    </row>
    <row r="46" spans="1:32" x14ac:dyDescent="0.2">
      <c r="A46" s="64" t="s">
        <v>350</v>
      </c>
      <c r="B46" s="65">
        <v>41</v>
      </c>
      <c r="C46" s="65" t="s">
        <v>989</v>
      </c>
      <c r="D46" s="64" t="s">
        <v>350</v>
      </c>
      <c r="E46" s="66" t="s">
        <v>50</v>
      </c>
      <c r="F46" s="66" t="s">
        <v>709</v>
      </c>
      <c r="G46" s="67">
        <v>42708</v>
      </c>
      <c r="H46" s="67"/>
      <c r="I46" s="65">
        <v>32.5</v>
      </c>
      <c r="J46" s="68">
        <f t="shared" si="15"/>
        <v>5241.9354838709678</v>
      </c>
      <c r="K46" s="68">
        <f t="shared" si="1"/>
        <v>0</v>
      </c>
      <c r="L46" s="68">
        <f t="shared" si="2"/>
        <v>262.09677419354841</v>
      </c>
      <c r="M46" s="68"/>
      <c r="N46" s="68">
        <f t="shared" si="17"/>
        <v>838.70967741935476</v>
      </c>
      <c r="O46" s="68"/>
      <c r="P46" s="68">
        <f>((4230)/I$3)*I46</f>
        <v>4434.6774193548381</v>
      </c>
      <c r="Q46" s="68">
        <v>0</v>
      </c>
      <c r="R46" s="68">
        <v>0</v>
      </c>
      <c r="S46" s="68">
        <f t="shared" si="3"/>
        <v>10777.419354838708</v>
      </c>
      <c r="T46" s="69">
        <f t="shared" si="4"/>
        <v>629.0322580645161</v>
      </c>
      <c r="U46" s="69">
        <f t="shared" si="16"/>
        <v>189</v>
      </c>
      <c r="V46" s="68">
        <v>0</v>
      </c>
      <c r="W46" s="68">
        <v>12</v>
      </c>
      <c r="X46" s="68">
        <f t="shared" si="5"/>
        <v>830.0322580645161</v>
      </c>
      <c r="Y46" s="68">
        <f t="shared" si="6"/>
        <v>9947.3870967741932</v>
      </c>
      <c r="Z46" s="68"/>
      <c r="AA46" s="68">
        <f t="shared" si="7"/>
        <v>9947.3870967741932</v>
      </c>
      <c r="AB46" s="69">
        <f t="shared" si="8"/>
        <v>689.31451612903231</v>
      </c>
      <c r="AC46" s="69">
        <f t="shared" si="9"/>
        <v>512</v>
      </c>
      <c r="AD46" s="70">
        <f t="shared" si="10"/>
        <v>36</v>
      </c>
      <c r="AE46" s="71">
        <f t="shared" si="11"/>
        <v>1237.3145161290322</v>
      </c>
      <c r="AF46" s="71">
        <f t="shared" si="12"/>
        <v>12014.733870967741</v>
      </c>
    </row>
    <row r="47" spans="1:32" x14ac:dyDescent="0.2">
      <c r="A47" s="64" t="s">
        <v>186</v>
      </c>
      <c r="B47" s="65">
        <v>42</v>
      </c>
      <c r="C47" s="65" t="s">
        <v>174</v>
      </c>
      <c r="D47" s="64" t="s">
        <v>186</v>
      </c>
      <c r="E47" s="66" t="s">
        <v>50</v>
      </c>
      <c r="F47" s="66" t="s">
        <v>238</v>
      </c>
      <c r="G47" s="67">
        <v>42705</v>
      </c>
      <c r="H47" s="67"/>
      <c r="I47" s="65">
        <v>37</v>
      </c>
      <c r="J47" s="68">
        <f t="shared" si="15"/>
        <v>5967.7419354838703</v>
      </c>
      <c r="K47" s="68">
        <f t="shared" si="1"/>
        <v>0</v>
      </c>
      <c r="L47" s="68">
        <f t="shared" si="2"/>
        <v>298.38709677419354</v>
      </c>
      <c r="M47" s="68"/>
      <c r="N47" s="68">
        <f t="shared" si="17"/>
        <v>954.83870967741927</v>
      </c>
      <c r="O47" s="68"/>
      <c r="P47" s="68">
        <f>((1950+1441+1043+814+0)/I$3)*I47</f>
        <v>6263.7419354838703</v>
      </c>
      <c r="Q47" s="68">
        <v>0</v>
      </c>
      <c r="R47" s="68">
        <v>0</v>
      </c>
      <c r="S47" s="68">
        <f t="shared" si="3"/>
        <v>13484.709677419352</v>
      </c>
      <c r="T47" s="69">
        <f t="shared" si="4"/>
        <v>716.1290322580644</v>
      </c>
      <c r="U47" s="69">
        <f t="shared" si="16"/>
        <v>236</v>
      </c>
      <c r="V47" s="68">
        <v>0</v>
      </c>
      <c r="W47" s="68">
        <v>12</v>
      </c>
      <c r="X47" s="68">
        <f t="shared" si="5"/>
        <v>964.1290322580644</v>
      </c>
      <c r="Y47" s="68">
        <f t="shared" si="6"/>
        <v>12520.580645161288</v>
      </c>
      <c r="Z47" s="68"/>
      <c r="AA47" s="68">
        <f t="shared" si="7"/>
        <v>12520.580645161288</v>
      </c>
      <c r="AB47" s="69">
        <f t="shared" si="8"/>
        <v>784.75806451612902</v>
      </c>
      <c r="AC47" s="69">
        <f t="shared" si="9"/>
        <v>641</v>
      </c>
      <c r="AD47" s="70">
        <f t="shared" si="10"/>
        <v>36</v>
      </c>
      <c r="AE47" s="71">
        <f t="shared" si="11"/>
        <v>1461.758064516129</v>
      </c>
      <c r="AF47" s="71">
        <f t="shared" si="12"/>
        <v>14946.467741935481</v>
      </c>
    </row>
    <row r="48" spans="1:32" x14ac:dyDescent="0.2">
      <c r="A48" s="64" t="s">
        <v>187</v>
      </c>
      <c r="B48" s="65">
        <v>43</v>
      </c>
      <c r="C48" s="65" t="s">
        <v>430</v>
      </c>
      <c r="D48" s="64" t="s">
        <v>187</v>
      </c>
      <c r="E48" s="66" t="s">
        <v>50</v>
      </c>
      <c r="F48" s="66" t="s">
        <v>234</v>
      </c>
      <c r="G48" s="67">
        <v>42705</v>
      </c>
      <c r="H48" s="67"/>
      <c r="I48" s="65">
        <v>35</v>
      </c>
      <c r="J48" s="68">
        <f t="shared" si="15"/>
        <v>5645.1612903225805</v>
      </c>
      <c r="K48" s="68">
        <f t="shared" si="1"/>
        <v>0</v>
      </c>
      <c r="L48" s="68">
        <f t="shared" si="2"/>
        <v>282.25806451612902</v>
      </c>
      <c r="M48" s="68"/>
      <c r="N48" s="68">
        <f t="shared" si="17"/>
        <v>903.22580645161281</v>
      </c>
      <c r="O48" s="68"/>
      <c r="P48" s="68">
        <f>((1950+1441+1043+2417)/I$3)*I48</f>
        <v>7735</v>
      </c>
      <c r="Q48" s="68">
        <v>0</v>
      </c>
      <c r="R48" s="68">
        <v>0</v>
      </c>
      <c r="S48" s="68">
        <f t="shared" si="3"/>
        <v>14565.645161290322</v>
      </c>
      <c r="T48" s="69">
        <f t="shared" si="4"/>
        <v>677.41935483870964</v>
      </c>
      <c r="U48" s="69">
        <f t="shared" si="16"/>
        <v>255</v>
      </c>
      <c r="V48" s="68">
        <v>0</v>
      </c>
      <c r="W48" s="68">
        <v>12</v>
      </c>
      <c r="X48" s="68">
        <f t="shared" si="5"/>
        <v>944.41935483870964</v>
      </c>
      <c r="Y48" s="68">
        <f t="shared" si="6"/>
        <v>13621.225806451612</v>
      </c>
      <c r="Z48" s="68"/>
      <c r="AA48" s="68">
        <f t="shared" si="7"/>
        <v>13621.225806451612</v>
      </c>
      <c r="AB48" s="69">
        <f t="shared" si="8"/>
        <v>742.33870967741939</v>
      </c>
      <c r="AC48" s="69">
        <f t="shared" si="9"/>
        <v>692</v>
      </c>
      <c r="AD48" s="70">
        <f t="shared" si="10"/>
        <v>36</v>
      </c>
      <c r="AE48" s="71">
        <f t="shared" si="11"/>
        <v>1470.3387096774195</v>
      </c>
      <c r="AF48" s="71">
        <f t="shared" si="12"/>
        <v>16035.983870967742</v>
      </c>
    </row>
    <row r="49" spans="1:32" x14ac:dyDescent="0.2">
      <c r="A49" s="64" t="s">
        <v>188</v>
      </c>
      <c r="B49" s="65">
        <v>44</v>
      </c>
      <c r="C49" s="65" t="s">
        <v>153</v>
      </c>
      <c r="D49" s="64" t="s">
        <v>188</v>
      </c>
      <c r="E49" s="66" t="s">
        <v>50</v>
      </c>
      <c r="F49" s="66" t="s">
        <v>232</v>
      </c>
      <c r="G49" s="67">
        <v>42705</v>
      </c>
      <c r="H49" s="67"/>
      <c r="I49" s="65">
        <v>37</v>
      </c>
      <c r="J49" s="68">
        <f t="shared" si="15"/>
        <v>5967.7419354838703</v>
      </c>
      <c r="K49" s="68">
        <f t="shared" si="1"/>
        <v>0</v>
      </c>
      <c r="L49" s="68">
        <f t="shared" si="2"/>
        <v>298.38709677419354</v>
      </c>
      <c r="M49" s="68"/>
      <c r="N49" s="68">
        <f t="shared" si="17"/>
        <v>954.83870967741927</v>
      </c>
      <c r="O49" s="68"/>
      <c r="P49" s="68">
        <f>((1950+1441+1043+814+0)/I$3)*I49</f>
        <v>6263.7419354838703</v>
      </c>
      <c r="Q49" s="68">
        <v>0</v>
      </c>
      <c r="R49" s="68">
        <v>0</v>
      </c>
      <c r="S49" s="68">
        <f t="shared" si="3"/>
        <v>13484.709677419352</v>
      </c>
      <c r="T49" s="69">
        <f t="shared" si="4"/>
        <v>716.1290322580644</v>
      </c>
      <c r="U49" s="69">
        <f t="shared" si="16"/>
        <v>236</v>
      </c>
      <c r="V49" s="68">
        <v>0</v>
      </c>
      <c r="W49" s="68">
        <v>12</v>
      </c>
      <c r="X49" s="68">
        <f t="shared" si="5"/>
        <v>964.1290322580644</v>
      </c>
      <c r="Y49" s="68">
        <f t="shared" si="6"/>
        <v>12520.580645161288</v>
      </c>
      <c r="Z49" s="68"/>
      <c r="AA49" s="68">
        <f t="shared" si="7"/>
        <v>12520.580645161288</v>
      </c>
      <c r="AB49" s="69">
        <f t="shared" si="8"/>
        <v>784.75806451612902</v>
      </c>
      <c r="AC49" s="69">
        <f t="shared" si="9"/>
        <v>641</v>
      </c>
      <c r="AD49" s="70">
        <f t="shared" si="10"/>
        <v>36</v>
      </c>
      <c r="AE49" s="71">
        <f t="shared" si="11"/>
        <v>1461.758064516129</v>
      </c>
      <c r="AF49" s="71">
        <f t="shared" si="12"/>
        <v>14946.467741935481</v>
      </c>
    </row>
    <row r="50" spans="1:32" x14ac:dyDescent="0.2">
      <c r="A50" s="64" t="s">
        <v>189</v>
      </c>
      <c r="B50" s="65">
        <v>45</v>
      </c>
      <c r="C50" s="65" t="s">
        <v>488</v>
      </c>
      <c r="D50" s="64" t="s">
        <v>189</v>
      </c>
      <c r="E50" s="66" t="s">
        <v>50</v>
      </c>
      <c r="F50" s="66" t="s">
        <v>237</v>
      </c>
      <c r="G50" s="67">
        <v>42705</v>
      </c>
      <c r="H50" s="67"/>
      <c r="I50" s="65">
        <v>31</v>
      </c>
      <c r="J50" s="68">
        <f t="shared" si="15"/>
        <v>5000</v>
      </c>
      <c r="K50" s="68">
        <f t="shared" si="1"/>
        <v>0</v>
      </c>
      <c r="L50" s="68">
        <f t="shared" si="2"/>
        <v>250</v>
      </c>
      <c r="M50" s="68"/>
      <c r="N50" s="68">
        <f t="shared" si="17"/>
        <v>800</v>
      </c>
      <c r="O50" s="68"/>
      <c r="P50" s="68">
        <f>((1950+1441+2061+1323+0)/I$3)*I50</f>
        <v>6775</v>
      </c>
      <c r="Q50" s="68">
        <v>0</v>
      </c>
      <c r="R50" s="68">
        <v>0</v>
      </c>
      <c r="S50" s="68">
        <f t="shared" si="3"/>
        <v>12825</v>
      </c>
      <c r="T50" s="69">
        <f t="shared" si="4"/>
        <v>600</v>
      </c>
      <c r="U50" s="69">
        <f t="shared" si="16"/>
        <v>225</v>
      </c>
      <c r="V50" s="68">
        <v>0</v>
      </c>
      <c r="W50" s="68">
        <v>12</v>
      </c>
      <c r="X50" s="68">
        <f t="shared" si="5"/>
        <v>837</v>
      </c>
      <c r="Y50" s="68">
        <f t="shared" si="6"/>
        <v>11988</v>
      </c>
      <c r="Z50" s="68"/>
      <c r="AA50" s="68">
        <f t="shared" si="7"/>
        <v>11988</v>
      </c>
      <c r="AB50" s="69">
        <f t="shared" si="8"/>
        <v>657.5</v>
      </c>
      <c r="AC50" s="69">
        <f t="shared" si="9"/>
        <v>610</v>
      </c>
      <c r="AD50" s="70">
        <f t="shared" si="10"/>
        <v>36</v>
      </c>
      <c r="AE50" s="71">
        <f t="shared" si="11"/>
        <v>1303.5</v>
      </c>
      <c r="AF50" s="71">
        <f t="shared" si="12"/>
        <v>14128.5</v>
      </c>
    </row>
    <row r="51" spans="1:32" x14ac:dyDescent="0.2">
      <c r="A51" s="64" t="s">
        <v>190</v>
      </c>
      <c r="B51" s="65">
        <v>46</v>
      </c>
      <c r="C51" s="65" t="s">
        <v>154</v>
      </c>
      <c r="D51" s="64" t="s">
        <v>190</v>
      </c>
      <c r="E51" s="66" t="s">
        <v>50</v>
      </c>
      <c r="F51" s="66" t="s">
        <v>484</v>
      </c>
      <c r="G51" s="67">
        <v>42705</v>
      </c>
      <c r="H51" s="67"/>
      <c r="I51" s="65">
        <v>34</v>
      </c>
      <c r="J51" s="68">
        <f t="shared" si="15"/>
        <v>5483.8709677419356</v>
      </c>
      <c r="K51" s="68">
        <f t="shared" si="1"/>
        <v>0</v>
      </c>
      <c r="L51" s="68">
        <f t="shared" si="2"/>
        <v>274.19354838709677</v>
      </c>
      <c r="M51" s="68"/>
      <c r="N51" s="68">
        <f t="shared" si="17"/>
        <v>877.41935483870964</v>
      </c>
      <c r="O51" s="68"/>
      <c r="P51" s="68">
        <f>((1950+1441+839+0)/I$3)*I51</f>
        <v>4639.3548387096771</v>
      </c>
      <c r="Q51" s="68">
        <v>0</v>
      </c>
      <c r="R51" s="68">
        <v>0</v>
      </c>
      <c r="S51" s="68">
        <f t="shared" si="3"/>
        <v>11274.838709677419</v>
      </c>
      <c r="T51" s="69">
        <f t="shared" si="4"/>
        <v>658.0645161290322</v>
      </c>
      <c r="U51" s="69">
        <f t="shared" si="16"/>
        <v>198</v>
      </c>
      <c r="V51" s="68">
        <v>0</v>
      </c>
      <c r="W51" s="68">
        <v>12</v>
      </c>
      <c r="X51" s="68">
        <f t="shared" si="5"/>
        <v>868.0645161290322</v>
      </c>
      <c r="Y51" s="68">
        <f t="shared" si="6"/>
        <v>10406.774193548386</v>
      </c>
      <c r="Z51" s="68"/>
      <c r="AA51" s="68">
        <f t="shared" si="7"/>
        <v>10406.774193548386</v>
      </c>
      <c r="AB51" s="69">
        <f t="shared" si="8"/>
        <v>721.12903225806451</v>
      </c>
      <c r="AC51" s="69">
        <f t="shared" si="9"/>
        <v>536</v>
      </c>
      <c r="AD51" s="70">
        <f t="shared" si="10"/>
        <v>36</v>
      </c>
      <c r="AE51" s="71">
        <f t="shared" si="11"/>
        <v>1293.1290322580644</v>
      </c>
      <c r="AF51" s="71">
        <f t="shared" si="12"/>
        <v>12567.967741935483</v>
      </c>
    </row>
    <row r="52" spans="1:32" x14ac:dyDescent="0.2">
      <c r="A52" s="64" t="s">
        <v>331</v>
      </c>
      <c r="B52" s="65">
        <v>47</v>
      </c>
      <c r="C52" s="65" t="s">
        <v>325</v>
      </c>
      <c r="D52" s="64" t="s">
        <v>331</v>
      </c>
      <c r="E52" s="66" t="s">
        <v>50</v>
      </c>
      <c r="F52" s="65" t="s">
        <v>242</v>
      </c>
      <c r="G52" s="67">
        <v>42826</v>
      </c>
      <c r="H52" s="67"/>
      <c r="I52" s="65">
        <v>36</v>
      </c>
      <c r="J52" s="68">
        <f t="shared" si="15"/>
        <v>5806.4516129032254</v>
      </c>
      <c r="K52" s="68">
        <f t="shared" si="1"/>
        <v>0</v>
      </c>
      <c r="L52" s="68">
        <f t="shared" si="2"/>
        <v>290.32258064516128</v>
      </c>
      <c r="M52" s="68"/>
      <c r="N52" s="68">
        <f t="shared" si="17"/>
        <v>929.0322580645161</v>
      </c>
      <c r="O52" s="68"/>
      <c r="P52" s="68">
        <f>((1950+1441+839+0)/I$3)*I52</f>
        <v>4912.2580645161288</v>
      </c>
      <c r="Q52" s="68">
        <v>0</v>
      </c>
      <c r="R52" s="68">
        <v>0</v>
      </c>
      <c r="S52" s="68">
        <f t="shared" si="3"/>
        <v>11938.06451612903</v>
      </c>
      <c r="T52" s="69">
        <f t="shared" si="4"/>
        <v>696.77419354838707</v>
      </c>
      <c r="U52" s="69">
        <f t="shared" si="16"/>
        <v>209</v>
      </c>
      <c r="V52" s="68">
        <v>0</v>
      </c>
      <c r="W52" s="68">
        <v>12</v>
      </c>
      <c r="X52" s="68">
        <f t="shared" si="5"/>
        <v>917.77419354838707</v>
      </c>
      <c r="Y52" s="68">
        <f t="shared" si="6"/>
        <v>11020.290322580644</v>
      </c>
      <c r="Z52" s="68"/>
      <c r="AA52" s="68">
        <f t="shared" si="7"/>
        <v>11020.290322580644</v>
      </c>
      <c r="AB52" s="69">
        <f t="shared" si="8"/>
        <v>763.54838709677415</v>
      </c>
      <c r="AC52" s="69">
        <f t="shared" si="9"/>
        <v>568</v>
      </c>
      <c r="AD52" s="70">
        <f t="shared" si="10"/>
        <v>36</v>
      </c>
      <c r="AE52" s="71">
        <f t="shared" si="11"/>
        <v>1367.5483870967741</v>
      </c>
      <c r="AF52" s="71">
        <f t="shared" si="12"/>
        <v>13305.612903225805</v>
      </c>
    </row>
    <row r="53" spans="1:32" x14ac:dyDescent="0.2">
      <c r="A53" s="64" t="s">
        <v>226</v>
      </c>
      <c r="B53" s="65">
        <v>48</v>
      </c>
      <c r="C53" s="65" t="s">
        <v>176</v>
      </c>
      <c r="D53" s="64" t="s">
        <v>226</v>
      </c>
      <c r="E53" s="66" t="s">
        <v>50</v>
      </c>
      <c r="F53" s="66" t="s">
        <v>239</v>
      </c>
      <c r="G53" s="67">
        <v>42736</v>
      </c>
      <c r="H53" s="67"/>
      <c r="I53" s="65">
        <v>37</v>
      </c>
      <c r="J53" s="68">
        <f t="shared" si="15"/>
        <v>5967.7419354838703</v>
      </c>
      <c r="K53" s="68">
        <f t="shared" si="1"/>
        <v>0</v>
      </c>
      <c r="L53" s="68">
        <f t="shared" si="2"/>
        <v>298.38709677419354</v>
      </c>
      <c r="M53" s="68"/>
      <c r="N53" s="68">
        <f t="shared" si="17"/>
        <v>954.83870967741927</v>
      </c>
      <c r="O53" s="68"/>
      <c r="P53" s="68">
        <f>((1950+1441+839+0)/I$3)*I53</f>
        <v>5048.7096774193542</v>
      </c>
      <c r="Q53" s="68">
        <v>0</v>
      </c>
      <c r="R53" s="68">
        <v>0</v>
      </c>
      <c r="S53" s="68">
        <f t="shared" si="3"/>
        <v>12269.677419354837</v>
      </c>
      <c r="T53" s="69">
        <f t="shared" si="4"/>
        <v>716.1290322580644</v>
      </c>
      <c r="U53" s="69">
        <f t="shared" si="16"/>
        <v>215</v>
      </c>
      <c r="V53" s="68">
        <v>0</v>
      </c>
      <c r="W53" s="68">
        <v>12</v>
      </c>
      <c r="X53" s="68">
        <f t="shared" si="5"/>
        <v>943.1290322580644</v>
      </c>
      <c r="Y53" s="68">
        <f t="shared" si="6"/>
        <v>11326.548387096773</v>
      </c>
      <c r="Z53" s="68"/>
      <c r="AA53" s="68">
        <f t="shared" si="7"/>
        <v>11326.548387096773</v>
      </c>
      <c r="AB53" s="69">
        <f t="shared" si="8"/>
        <v>784.75806451612902</v>
      </c>
      <c r="AC53" s="69">
        <f t="shared" si="9"/>
        <v>583</v>
      </c>
      <c r="AD53" s="70">
        <f t="shared" si="10"/>
        <v>36</v>
      </c>
      <c r="AE53" s="71">
        <f t="shared" si="11"/>
        <v>1403.758064516129</v>
      </c>
      <c r="AF53" s="71">
        <f t="shared" si="12"/>
        <v>13673.435483870966</v>
      </c>
    </row>
    <row r="54" spans="1:32" x14ac:dyDescent="0.2">
      <c r="A54" s="64" t="s">
        <v>886</v>
      </c>
      <c r="B54" s="65">
        <v>49</v>
      </c>
      <c r="C54" s="65" t="s">
        <v>743</v>
      </c>
      <c r="D54" s="64" t="s">
        <v>886</v>
      </c>
      <c r="E54" s="66" t="s">
        <v>50</v>
      </c>
      <c r="F54" s="65" t="s">
        <v>234</v>
      </c>
      <c r="G54" s="67">
        <v>42737</v>
      </c>
      <c r="H54" s="67"/>
      <c r="I54" s="65">
        <v>32.5</v>
      </c>
      <c r="J54" s="68">
        <f t="shared" si="15"/>
        <v>5241.9354838709678</v>
      </c>
      <c r="K54" s="68">
        <f t="shared" si="1"/>
        <v>0</v>
      </c>
      <c r="L54" s="68">
        <f t="shared" si="2"/>
        <v>262.09677419354841</v>
      </c>
      <c r="M54" s="68"/>
      <c r="N54" s="68">
        <f t="shared" si="17"/>
        <v>838.70967741935476</v>
      </c>
      <c r="O54" s="68"/>
      <c r="P54" s="68">
        <f>((8811)/I$3)*I54</f>
        <v>9237.3387096774204</v>
      </c>
      <c r="Q54" s="68">
        <v>0</v>
      </c>
      <c r="R54" s="68">
        <v>0</v>
      </c>
      <c r="S54" s="68">
        <f t="shared" si="3"/>
        <v>15580.080645161292</v>
      </c>
      <c r="T54" s="69">
        <f t="shared" si="4"/>
        <v>629.0322580645161</v>
      </c>
      <c r="U54" s="69">
        <f t="shared" si="16"/>
        <v>273</v>
      </c>
      <c r="V54" s="68">
        <v>0</v>
      </c>
      <c r="W54" s="68">
        <v>12</v>
      </c>
      <c r="X54" s="68">
        <f t="shared" si="5"/>
        <v>914.0322580645161</v>
      </c>
      <c r="Y54" s="68">
        <f t="shared" si="6"/>
        <v>14666.048387096776</v>
      </c>
      <c r="Z54" s="68"/>
      <c r="AA54" s="68">
        <f t="shared" si="7"/>
        <v>14666.048387096776</v>
      </c>
      <c r="AB54" s="69">
        <f t="shared" si="8"/>
        <v>689.31451612903231</v>
      </c>
      <c r="AC54" s="69">
        <f t="shared" si="9"/>
        <v>741</v>
      </c>
      <c r="AD54" s="70">
        <f t="shared" si="10"/>
        <v>36</v>
      </c>
      <c r="AE54" s="71">
        <f t="shared" si="11"/>
        <v>1466.3145161290322</v>
      </c>
      <c r="AF54" s="71">
        <f t="shared" si="12"/>
        <v>17046.395161290326</v>
      </c>
    </row>
    <row r="55" spans="1:32" x14ac:dyDescent="0.2">
      <c r="A55" s="64" t="s">
        <v>229</v>
      </c>
      <c r="B55" s="65">
        <v>50</v>
      </c>
      <c r="C55" s="65" t="s">
        <v>199</v>
      </c>
      <c r="D55" s="64" t="s">
        <v>229</v>
      </c>
      <c r="E55" s="66" t="s">
        <v>50</v>
      </c>
      <c r="F55" s="66" t="s">
        <v>240</v>
      </c>
      <c r="G55" s="67">
        <v>42736</v>
      </c>
      <c r="H55" s="67"/>
      <c r="I55" s="65">
        <v>37</v>
      </c>
      <c r="J55" s="68">
        <f t="shared" si="15"/>
        <v>5967.7419354838703</v>
      </c>
      <c r="K55" s="68">
        <f t="shared" si="1"/>
        <v>0</v>
      </c>
      <c r="L55" s="68">
        <f t="shared" si="2"/>
        <v>298.38709677419354</v>
      </c>
      <c r="M55" s="68"/>
      <c r="N55" s="68">
        <f t="shared" si="17"/>
        <v>954.83870967741927</v>
      </c>
      <c r="O55" s="68"/>
      <c r="P55" s="68">
        <f>((6979+814+0)/I$3)*I55</f>
        <v>9301.322580645161</v>
      </c>
      <c r="Q55" s="68">
        <v>0</v>
      </c>
      <c r="R55" s="68">
        <v>0</v>
      </c>
      <c r="S55" s="68">
        <f t="shared" si="3"/>
        <v>16522.290322580644</v>
      </c>
      <c r="T55" s="69">
        <f t="shared" si="4"/>
        <v>716.1290322580644</v>
      </c>
      <c r="U55" s="69">
        <f t="shared" si="16"/>
        <v>290</v>
      </c>
      <c r="V55" s="68">
        <v>0</v>
      </c>
      <c r="W55" s="68">
        <v>12</v>
      </c>
      <c r="X55" s="68">
        <f t="shared" si="5"/>
        <v>1018.1290322580644</v>
      </c>
      <c r="Y55" s="68">
        <f t="shared" si="6"/>
        <v>15504.16129032258</v>
      </c>
      <c r="Z55" s="68"/>
      <c r="AA55" s="68">
        <f t="shared" si="7"/>
        <v>15504.16129032258</v>
      </c>
      <c r="AB55" s="69">
        <f t="shared" si="8"/>
        <v>784.75806451612902</v>
      </c>
      <c r="AC55" s="69">
        <f t="shared" si="9"/>
        <v>785</v>
      </c>
      <c r="AD55" s="70">
        <f t="shared" si="10"/>
        <v>36</v>
      </c>
      <c r="AE55" s="71">
        <f t="shared" si="11"/>
        <v>1605.758064516129</v>
      </c>
      <c r="AF55" s="71">
        <f t="shared" si="12"/>
        <v>18128.048387096773</v>
      </c>
    </row>
    <row r="56" spans="1:32" x14ac:dyDescent="0.2">
      <c r="A56" s="64" t="s">
        <v>267</v>
      </c>
      <c r="B56" s="65">
        <v>51</v>
      </c>
      <c r="C56" s="65" t="s">
        <v>204</v>
      </c>
      <c r="D56" s="64" t="s">
        <v>267</v>
      </c>
      <c r="E56" s="66" t="s">
        <v>50</v>
      </c>
      <c r="F56" s="66" t="s">
        <v>240</v>
      </c>
      <c r="G56" s="67">
        <v>42767</v>
      </c>
      <c r="H56" s="67"/>
      <c r="I56" s="65">
        <v>37</v>
      </c>
      <c r="J56" s="68">
        <f t="shared" si="15"/>
        <v>5967.7419354838703</v>
      </c>
      <c r="K56" s="68">
        <f t="shared" si="1"/>
        <v>0</v>
      </c>
      <c r="L56" s="68">
        <f t="shared" si="2"/>
        <v>298.38709677419354</v>
      </c>
      <c r="M56" s="68"/>
      <c r="N56" s="68">
        <f t="shared" si="17"/>
        <v>954.83870967741927</v>
      </c>
      <c r="O56" s="68"/>
      <c r="P56" s="68">
        <f>((1950+1441+839+0)/I$3)*I56</f>
        <v>5048.7096774193542</v>
      </c>
      <c r="Q56" s="68">
        <v>0</v>
      </c>
      <c r="R56" s="68">
        <v>0</v>
      </c>
      <c r="S56" s="68">
        <f t="shared" si="3"/>
        <v>12269.677419354837</v>
      </c>
      <c r="T56" s="69">
        <f t="shared" si="4"/>
        <v>716.1290322580644</v>
      </c>
      <c r="U56" s="69">
        <f t="shared" si="16"/>
        <v>215</v>
      </c>
      <c r="V56" s="68">
        <v>0</v>
      </c>
      <c r="W56" s="68">
        <v>12</v>
      </c>
      <c r="X56" s="68">
        <f t="shared" si="5"/>
        <v>943.1290322580644</v>
      </c>
      <c r="Y56" s="68">
        <f t="shared" si="6"/>
        <v>11326.548387096773</v>
      </c>
      <c r="Z56" s="68"/>
      <c r="AA56" s="68">
        <f t="shared" si="7"/>
        <v>11326.548387096773</v>
      </c>
      <c r="AB56" s="69">
        <f t="shared" si="8"/>
        <v>784.75806451612902</v>
      </c>
      <c r="AC56" s="69">
        <f t="shared" si="9"/>
        <v>583</v>
      </c>
      <c r="AD56" s="70">
        <f t="shared" si="10"/>
        <v>36</v>
      </c>
      <c r="AE56" s="71">
        <f t="shared" si="11"/>
        <v>1403.758064516129</v>
      </c>
      <c r="AF56" s="71">
        <f t="shared" si="12"/>
        <v>13673.435483870966</v>
      </c>
    </row>
    <row r="57" spans="1:32" x14ac:dyDescent="0.2">
      <c r="A57" s="64" t="s">
        <v>268</v>
      </c>
      <c r="B57" s="65">
        <v>52</v>
      </c>
      <c r="C57" s="65" t="s">
        <v>205</v>
      </c>
      <c r="D57" s="64" t="s">
        <v>268</v>
      </c>
      <c r="E57" s="66" t="s">
        <v>50</v>
      </c>
      <c r="F57" s="66" t="s">
        <v>240</v>
      </c>
      <c r="G57" s="67">
        <v>42767</v>
      </c>
      <c r="H57" s="67"/>
      <c r="I57" s="65">
        <v>37</v>
      </c>
      <c r="J57" s="68">
        <f t="shared" si="15"/>
        <v>5967.7419354838703</v>
      </c>
      <c r="K57" s="68">
        <f t="shared" si="1"/>
        <v>0</v>
      </c>
      <c r="L57" s="68">
        <f t="shared" si="2"/>
        <v>298.38709677419354</v>
      </c>
      <c r="M57" s="68"/>
      <c r="N57" s="68">
        <f t="shared" si="17"/>
        <v>954.83870967741927</v>
      </c>
      <c r="O57" s="68"/>
      <c r="P57" s="68">
        <f>((1950+1441+839+0)/I$3)*I57</f>
        <v>5048.7096774193542</v>
      </c>
      <c r="Q57" s="68">
        <v>0</v>
      </c>
      <c r="R57" s="68">
        <v>0</v>
      </c>
      <c r="S57" s="68">
        <f t="shared" si="3"/>
        <v>12269.677419354837</v>
      </c>
      <c r="T57" s="69">
        <f t="shared" si="4"/>
        <v>716.1290322580644</v>
      </c>
      <c r="U57" s="69">
        <f t="shared" si="16"/>
        <v>215</v>
      </c>
      <c r="V57" s="68">
        <v>0</v>
      </c>
      <c r="W57" s="68">
        <v>12</v>
      </c>
      <c r="X57" s="68">
        <f t="shared" si="5"/>
        <v>943.1290322580644</v>
      </c>
      <c r="Y57" s="68">
        <f t="shared" si="6"/>
        <v>11326.548387096773</v>
      </c>
      <c r="Z57" s="68"/>
      <c r="AA57" s="68">
        <f t="shared" si="7"/>
        <v>11326.548387096773</v>
      </c>
      <c r="AB57" s="69">
        <f t="shared" si="8"/>
        <v>784.75806451612902</v>
      </c>
      <c r="AC57" s="69">
        <f t="shared" si="9"/>
        <v>583</v>
      </c>
      <c r="AD57" s="70">
        <f t="shared" si="10"/>
        <v>36</v>
      </c>
      <c r="AE57" s="71">
        <f t="shared" si="11"/>
        <v>1403.758064516129</v>
      </c>
      <c r="AF57" s="71">
        <f t="shared" si="12"/>
        <v>13673.435483870966</v>
      </c>
    </row>
    <row r="58" spans="1:32" x14ac:dyDescent="0.2">
      <c r="A58" s="64" t="s">
        <v>269</v>
      </c>
      <c r="B58" s="65">
        <v>53</v>
      </c>
      <c r="C58" s="65" t="s">
        <v>206</v>
      </c>
      <c r="D58" s="64" t="s">
        <v>269</v>
      </c>
      <c r="E58" s="66" t="s">
        <v>50</v>
      </c>
      <c r="F58" s="66" t="s">
        <v>238</v>
      </c>
      <c r="G58" s="67">
        <v>42767</v>
      </c>
      <c r="H58" s="67"/>
      <c r="I58" s="65">
        <v>36</v>
      </c>
      <c r="J58" s="68">
        <f t="shared" si="15"/>
        <v>5806.4516129032254</v>
      </c>
      <c r="K58" s="68">
        <f t="shared" si="1"/>
        <v>0</v>
      </c>
      <c r="L58" s="68">
        <f t="shared" si="2"/>
        <v>290.32258064516128</v>
      </c>
      <c r="M58" s="68"/>
      <c r="N58" s="68">
        <f t="shared" si="17"/>
        <v>929.0322580645161</v>
      </c>
      <c r="O58" s="68"/>
      <c r="P58" s="68">
        <f>((1950+1441+1043+814+0)/I$3)*I58</f>
        <v>6094.4516129032254</v>
      </c>
      <c r="Q58" s="68">
        <v>0</v>
      </c>
      <c r="R58" s="68">
        <v>0</v>
      </c>
      <c r="S58" s="68">
        <f t="shared" si="3"/>
        <v>13120.258064516129</v>
      </c>
      <c r="T58" s="69">
        <f t="shared" si="4"/>
        <v>696.77419354838707</v>
      </c>
      <c r="U58" s="69">
        <f t="shared" si="16"/>
        <v>230</v>
      </c>
      <c r="V58" s="68">
        <v>0</v>
      </c>
      <c r="W58" s="68">
        <v>12</v>
      </c>
      <c r="X58" s="68">
        <f t="shared" si="5"/>
        <v>938.77419354838707</v>
      </c>
      <c r="Y58" s="68">
        <f t="shared" si="6"/>
        <v>12181.483870967742</v>
      </c>
      <c r="Z58" s="68"/>
      <c r="AA58" s="68">
        <f t="shared" si="7"/>
        <v>12181.483870967742</v>
      </c>
      <c r="AB58" s="69">
        <f t="shared" si="8"/>
        <v>763.54838709677415</v>
      </c>
      <c r="AC58" s="69">
        <f t="shared" si="9"/>
        <v>624</v>
      </c>
      <c r="AD58" s="70">
        <f t="shared" si="10"/>
        <v>36</v>
      </c>
      <c r="AE58" s="71">
        <f t="shared" si="11"/>
        <v>1423.5483870967741</v>
      </c>
      <c r="AF58" s="71">
        <f t="shared" si="12"/>
        <v>14543.806451612903</v>
      </c>
    </row>
    <row r="59" spans="1:32" x14ac:dyDescent="0.2">
      <c r="A59" s="64" t="s">
        <v>270</v>
      </c>
      <c r="B59" s="65">
        <v>54</v>
      </c>
      <c r="C59" s="65" t="s">
        <v>207</v>
      </c>
      <c r="D59" s="64" t="s">
        <v>270</v>
      </c>
      <c r="E59" s="66" t="s">
        <v>50</v>
      </c>
      <c r="F59" s="66" t="s">
        <v>238</v>
      </c>
      <c r="G59" s="67">
        <v>42767</v>
      </c>
      <c r="H59" s="67"/>
      <c r="I59" s="65">
        <v>34</v>
      </c>
      <c r="J59" s="68">
        <f t="shared" si="15"/>
        <v>5483.8709677419356</v>
      </c>
      <c r="K59" s="68">
        <f t="shared" si="1"/>
        <v>0</v>
      </c>
      <c r="L59" s="68">
        <f t="shared" si="2"/>
        <v>274.19354838709677</v>
      </c>
      <c r="M59" s="68"/>
      <c r="N59" s="68">
        <f t="shared" si="17"/>
        <v>877.41935483870964</v>
      </c>
      <c r="O59" s="68"/>
      <c r="P59" s="68">
        <f>((1950+1441+1043+814+0)/I$3)*I59</f>
        <v>5755.8709677419356</v>
      </c>
      <c r="Q59" s="68">
        <v>0</v>
      </c>
      <c r="R59" s="68">
        <v>0</v>
      </c>
      <c r="S59" s="68">
        <f t="shared" si="3"/>
        <v>12391.354838709678</v>
      </c>
      <c r="T59" s="69">
        <f t="shared" si="4"/>
        <v>658.0645161290322</v>
      </c>
      <c r="U59" s="69">
        <f t="shared" si="16"/>
        <v>217</v>
      </c>
      <c r="V59" s="68">
        <v>0</v>
      </c>
      <c r="W59" s="68">
        <v>12</v>
      </c>
      <c r="X59" s="68">
        <f t="shared" si="5"/>
        <v>887.0645161290322</v>
      </c>
      <c r="Y59" s="68">
        <f t="shared" si="6"/>
        <v>11504.290322580646</v>
      </c>
      <c r="Z59" s="68"/>
      <c r="AA59" s="68">
        <f t="shared" si="7"/>
        <v>11504.290322580646</v>
      </c>
      <c r="AB59" s="69">
        <f t="shared" si="8"/>
        <v>721.12903225806451</v>
      </c>
      <c r="AC59" s="69">
        <f t="shared" si="9"/>
        <v>589</v>
      </c>
      <c r="AD59" s="70">
        <f t="shared" si="10"/>
        <v>36</v>
      </c>
      <c r="AE59" s="71">
        <f t="shared" si="11"/>
        <v>1346.1290322580644</v>
      </c>
      <c r="AF59" s="71">
        <f t="shared" si="12"/>
        <v>13737.483870967742</v>
      </c>
    </row>
    <row r="60" spans="1:32" x14ac:dyDescent="0.2">
      <c r="A60" s="64" t="s">
        <v>271</v>
      </c>
      <c r="B60" s="65">
        <v>55</v>
      </c>
      <c r="C60" s="65" t="s">
        <v>208</v>
      </c>
      <c r="D60" s="64" t="s">
        <v>271</v>
      </c>
      <c r="E60" s="66" t="s">
        <v>50</v>
      </c>
      <c r="F60" s="66" t="s">
        <v>242</v>
      </c>
      <c r="G60" s="67">
        <v>42767</v>
      </c>
      <c r="H60" s="67"/>
      <c r="I60" s="65">
        <v>36</v>
      </c>
      <c r="J60" s="68">
        <f t="shared" si="15"/>
        <v>5806.4516129032254</v>
      </c>
      <c r="K60" s="68">
        <f t="shared" si="1"/>
        <v>0</v>
      </c>
      <c r="L60" s="68">
        <f t="shared" si="2"/>
        <v>290.32258064516128</v>
      </c>
      <c r="M60" s="68"/>
      <c r="N60" s="68">
        <f t="shared" si="17"/>
        <v>929.0322580645161</v>
      </c>
      <c r="O60" s="68"/>
      <c r="P60" s="68">
        <f>((1950+1441+839+0)/I$3)*I60</f>
        <v>4912.2580645161288</v>
      </c>
      <c r="Q60" s="68">
        <v>0</v>
      </c>
      <c r="R60" s="68">
        <v>0</v>
      </c>
      <c r="S60" s="68">
        <f t="shared" si="3"/>
        <v>11938.06451612903</v>
      </c>
      <c r="T60" s="69">
        <f t="shared" si="4"/>
        <v>696.77419354838707</v>
      </c>
      <c r="U60" s="69">
        <f t="shared" si="16"/>
        <v>209</v>
      </c>
      <c r="V60" s="68">
        <v>0</v>
      </c>
      <c r="W60" s="68">
        <v>12</v>
      </c>
      <c r="X60" s="68">
        <f t="shared" si="5"/>
        <v>917.77419354838707</v>
      </c>
      <c r="Y60" s="68">
        <f t="shared" si="6"/>
        <v>11020.290322580644</v>
      </c>
      <c r="Z60" s="68"/>
      <c r="AA60" s="68">
        <f t="shared" si="7"/>
        <v>11020.290322580644</v>
      </c>
      <c r="AB60" s="69">
        <f t="shared" si="8"/>
        <v>763.54838709677415</v>
      </c>
      <c r="AC60" s="69">
        <f t="shared" si="9"/>
        <v>568</v>
      </c>
      <c r="AD60" s="70">
        <f t="shared" si="10"/>
        <v>36</v>
      </c>
      <c r="AE60" s="71">
        <f t="shared" si="11"/>
        <v>1367.5483870967741</v>
      </c>
      <c r="AF60" s="71">
        <f t="shared" si="12"/>
        <v>13305.612903225805</v>
      </c>
    </row>
    <row r="61" spans="1:32" x14ac:dyDescent="0.2">
      <c r="A61" s="64" t="s">
        <v>272</v>
      </c>
      <c r="B61" s="65">
        <v>56</v>
      </c>
      <c r="C61" s="65" t="s">
        <v>428</v>
      </c>
      <c r="D61" s="64" t="s">
        <v>272</v>
      </c>
      <c r="E61" s="66" t="s">
        <v>50</v>
      </c>
      <c r="F61" s="65" t="s">
        <v>234</v>
      </c>
      <c r="G61" s="67">
        <v>42790</v>
      </c>
      <c r="H61" s="67"/>
      <c r="I61" s="65">
        <v>33</v>
      </c>
      <c r="J61" s="68">
        <f t="shared" si="15"/>
        <v>5322.5806451612898</v>
      </c>
      <c r="K61" s="68">
        <f t="shared" si="1"/>
        <v>0</v>
      </c>
      <c r="L61" s="68">
        <f t="shared" si="2"/>
        <v>266.12903225806451</v>
      </c>
      <c r="M61" s="68"/>
      <c r="N61" s="68">
        <f t="shared" si="17"/>
        <v>851.61290322580635</v>
      </c>
      <c r="O61" s="68"/>
      <c r="P61" s="68">
        <f>((5248)/I$3)*I61</f>
        <v>5586.5806451612898</v>
      </c>
      <c r="Q61" s="68">
        <v>0</v>
      </c>
      <c r="R61" s="68">
        <v>0</v>
      </c>
      <c r="S61" s="68">
        <f t="shared" si="3"/>
        <v>12026.903225806451</v>
      </c>
      <c r="T61" s="69">
        <f t="shared" si="4"/>
        <v>638.70967741935476</v>
      </c>
      <c r="U61" s="69">
        <f t="shared" si="16"/>
        <v>211</v>
      </c>
      <c r="V61" s="68">
        <v>0</v>
      </c>
      <c r="W61" s="68">
        <v>12</v>
      </c>
      <c r="X61" s="68">
        <f t="shared" si="5"/>
        <v>861.70967741935476</v>
      </c>
      <c r="Y61" s="68">
        <f t="shared" si="6"/>
        <v>11165.193548387097</v>
      </c>
      <c r="Z61" s="68"/>
      <c r="AA61" s="68">
        <f t="shared" si="7"/>
        <v>11165.193548387097</v>
      </c>
      <c r="AB61" s="69">
        <f t="shared" si="8"/>
        <v>699.91935483870964</v>
      </c>
      <c r="AC61" s="69">
        <f t="shared" si="9"/>
        <v>572</v>
      </c>
      <c r="AD61" s="70">
        <f t="shared" si="10"/>
        <v>36</v>
      </c>
      <c r="AE61" s="71">
        <f t="shared" si="11"/>
        <v>1307.9193548387098</v>
      </c>
      <c r="AF61" s="71">
        <f t="shared" si="12"/>
        <v>13334.822580645161</v>
      </c>
    </row>
    <row r="62" spans="1:32" x14ac:dyDescent="0.2">
      <c r="A62" s="64" t="s">
        <v>1436</v>
      </c>
      <c r="B62" s="65">
        <v>57</v>
      </c>
      <c r="C62" s="65" t="s">
        <v>1410</v>
      </c>
      <c r="D62" s="64" t="s">
        <v>1436</v>
      </c>
      <c r="E62" s="66" t="s">
        <v>50</v>
      </c>
      <c r="F62" s="65" t="s">
        <v>237</v>
      </c>
      <c r="G62" s="67">
        <v>43041</v>
      </c>
      <c r="H62" s="67"/>
      <c r="I62" s="65">
        <v>33</v>
      </c>
      <c r="J62" s="68">
        <f t="shared" si="15"/>
        <v>5322.5806451612898</v>
      </c>
      <c r="K62" s="68">
        <f t="shared" si="1"/>
        <v>0</v>
      </c>
      <c r="L62" s="68">
        <f t="shared" si="2"/>
        <v>266.12903225806451</v>
      </c>
      <c r="M62" s="68"/>
      <c r="N62" s="68">
        <f t="shared" si="17"/>
        <v>851.61290322580635</v>
      </c>
      <c r="O62" s="68"/>
      <c r="P62" s="68">
        <f>((6266)/I$3)*I62</f>
        <v>6670.2580645161288</v>
      </c>
      <c r="Q62" s="68">
        <v>1018</v>
      </c>
      <c r="R62" s="68">
        <v>0</v>
      </c>
      <c r="S62" s="68">
        <f t="shared" si="3"/>
        <v>14128.58064516129</v>
      </c>
      <c r="T62" s="69">
        <f t="shared" si="4"/>
        <v>638.70967741935476</v>
      </c>
      <c r="U62" s="69">
        <f t="shared" si="16"/>
        <v>248</v>
      </c>
      <c r="V62" s="68">
        <v>0</v>
      </c>
      <c r="W62" s="68">
        <v>12</v>
      </c>
      <c r="X62" s="68">
        <f t="shared" si="5"/>
        <v>898.70967741935476</v>
      </c>
      <c r="Y62" s="68">
        <f t="shared" si="6"/>
        <v>13229.870967741936</v>
      </c>
      <c r="Z62" s="68">
        <v>1000</v>
      </c>
      <c r="AA62" s="68">
        <f t="shared" si="7"/>
        <v>12229.870967741936</v>
      </c>
      <c r="AB62" s="69">
        <f t="shared" si="8"/>
        <v>699.91935483870964</v>
      </c>
      <c r="AC62" s="69">
        <f t="shared" si="9"/>
        <v>672</v>
      </c>
      <c r="AD62" s="70">
        <f t="shared" si="10"/>
        <v>36</v>
      </c>
      <c r="AE62" s="71">
        <f t="shared" si="11"/>
        <v>1407.9193548387098</v>
      </c>
      <c r="AF62" s="71">
        <f t="shared" si="12"/>
        <v>15536.5</v>
      </c>
    </row>
    <row r="63" spans="1:32" x14ac:dyDescent="0.2">
      <c r="A63" s="64" t="s">
        <v>273</v>
      </c>
      <c r="B63" s="65">
        <v>58</v>
      </c>
      <c r="C63" s="65" t="s">
        <v>209</v>
      </c>
      <c r="D63" s="64" t="s">
        <v>273</v>
      </c>
      <c r="E63" s="66" t="s">
        <v>50</v>
      </c>
      <c r="F63" s="66" t="s">
        <v>241</v>
      </c>
      <c r="G63" s="67">
        <v>42767</v>
      </c>
      <c r="H63" s="67"/>
      <c r="I63" s="65">
        <v>36</v>
      </c>
      <c r="J63" s="68">
        <f t="shared" si="15"/>
        <v>5806.4516129032254</v>
      </c>
      <c r="K63" s="68">
        <f t="shared" si="1"/>
        <v>0</v>
      </c>
      <c r="L63" s="68">
        <f t="shared" si="2"/>
        <v>290.32258064516128</v>
      </c>
      <c r="M63" s="68"/>
      <c r="N63" s="68">
        <f t="shared" si="17"/>
        <v>929.0322580645161</v>
      </c>
      <c r="O63" s="68"/>
      <c r="P63" s="68">
        <f>((1950+1441+839+0)/I$3)*I63</f>
        <v>4912.2580645161288</v>
      </c>
      <c r="Q63" s="68">
        <v>0</v>
      </c>
      <c r="R63" s="68">
        <v>0</v>
      </c>
      <c r="S63" s="68">
        <f t="shared" si="3"/>
        <v>11938.06451612903</v>
      </c>
      <c r="T63" s="69">
        <f t="shared" si="4"/>
        <v>696.77419354838707</v>
      </c>
      <c r="U63" s="69">
        <f t="shared" si="16"/>
        <v>209</v>
      </c>
      <c r="V63" s="68">
        <v>0</v>
      </c>
      <c r="W63" s="68">
        <v>12</v>
      </c>
      <c r="X63" s="68">
        <f t="shared" si="5"/>
        <v>917.77419354838707</v>
      </c>
      <c r="Y63" s="68">
        <f t="shared" si="6"/>
        <v>11020.290322580644</v>
      </c>
      <c r="Z63" s="68"/>
      <c r="AA63" s="68">
        <f t="shared" si="7"/>
        <v>11020.290322580644</v>
      </c>
      <c r="AB63" s="69">
        <f t="shared" si="8"/>
        <v>763.54838709677415</v>
      </c>
      <c r="AC63" s="69">
        <f t="shared" si="9"/>
        <v>568</v>
      </c>
      <c r="AD63" s="70">
        <f t="shared" si="10"/>
        <v>36</v>
      </c>
      <c r="AE63" s="71">
        <f t="shared" si="11"/>
        <v>1367.5483870967741</v>
      </c>
      <c r="AF63" s="71">
        <f t="shared" si="12"/>
        <v>13305.612903225805</v>
      </c>
    </row>
    <row r="64" spans="1:32" x14ac:dyDescent="0.2">
      <c r="A64" s="64" t="s">
        <v>586</v>
      </c>
      <c r="B64" s="65">
        <v>59</v>
      </c>
      <c r="C64" s="65" t="s">
        <v>573</v>
      </c>
      <c r="D64" s="64" t="s">
        <v>586</v>
      </c>
      <c r="E64" s="66" t="s">
        <v>50</v>
      </c>
      <c r="F64" s="65" t="s">
        <v>237</v>
      </c>
      <c r="G64" s="67">
        <v>42738</v>
      </c>
      <c r="H64" s="67"/>
      <c r="I64" s="65">
        <v>34</v>
      </c>
      <c r="J64" s="68">
        <f t="shared" si="15"/>
        <v>5483.8709677419356</v>
      </c>
      <c r="K64" s="68">
        <f t="shared" si="1"/>
        <v>0</v>
      </c>
      <c r="L64" s="68">
        <f t="shared" si="2"/>
        <v>274.19354838709677</v>
      </c>
      <c r="M64" s="68"/>
      <c r="N64" s="68">
        <f t="shared" si="17"/>
        <v>877.41935483870964</v>
      </c>
      <c r="O64" s="68"/>
      <c r="P64" s="68">
        <f>((1950+1441-178+1017+1527+509)/I$3)*I64</f>
        <v>6872.3870967741932</v>
      </c>
      <c r="Q64" s="68">
        <v>509</v>
      </c>
      <c r="R64" s="68">
        <v>0</v>
      </c>
      <c r="S64" s="68">
        <f t="shared" si="3"/>
        <v>14016.870967741936</v>
      </c>
      <c r="T64" s="69">
        <f t="shared" si="4"/>
        <v>658.0645161290322</v>
      </c>
      <c r="U64" s="69">
        <f t="shared" si="16"/>
        <v>246</v>
      </c>
      <c r="V64" s="68">
        <v>0</v>
      </c>
      <c r="W64" s="68">
        <v>12</v>
      </c>
      <c r="X64" s="68">
        <f t="shared" si="5"/>
        <v>916.0645161290322</v>
      </c>
      <c r="Y64" s="68">
        <f t="shared" si="6"/>
        <v>13100.806451612903</v>
      </c>
      <c r="Z64" s="68">
        <v>500</v>
      </c>
      <c r="AA64" s="68">
        <f t="shared" si="7"/>
        <v>12600.806451612903</v>
      </c>
      <c r="AB64" s="69">
        <f t="shared" si="8"/>
        <v>721.12903225806451</v>
      </c>
      <c r="AC64" s="69">
        <f t="shared" si="9"/>
        <v>666</v>
      </c>
      <c r="AD64" s="70">
        <f t="shared" si="10"/>
        <v>36</v>
      </c>
      <c r="AE64" s="71">
        <f t="shared" si="11"/>
        <v>1423.1290322580644</v>
      </c>
      <c r="AF64" s="71">
        <f t="shared" si="12"/>
        <v>15440</v>
      </c>
    </row>
    <row r="65" spans="1:32" x14ac:dyDescent="0.2">
      <c r="A65" s="64" t="s">
        <v>274</v>
      </c>
      <c r="B65" s="65">
        <v>60</v>
      </c>
      <c r="C65" s="65" t="s">
        <v>210</v>
      </c>
      <c r="D65" s="64" t="s">
        <v>274</v>
      </c>
      <c r="E65" s="66" t="s">
        <v>50</v>
      </c>
      <c r="F65" s="66" t="s">
        <v>708</v>
      </c>
      <c r="G65" s="67">
        <v>42767</v>
      </c>
      <c r="H65" s="67"/>
      <c r="I65" s="65">
        <v>34.5</v>
      </c>
      <c r="J65" s="68">
        <f t="shared" si="15"/>
        <v>5564.5161290322576</v>
      </c>
      <c r="K65" s="68">
        <f t="shared" si="1"/>
        <v>0</v>
      </c>
      <c r="L65" s="68">
        <f t="shared" si="2"/>
        <v>278.22580645161287</v>
      </c>
      <c r="M65" s="68"/>
      <c r="N65" s="68">
        <f t="shared" si="17"/>
        <v>890.32258064516122</v>
      </c>
      <c r="O65" s="68"/>
      <c r="P65" s="68">
        <f>((1950+1441+839+0)/I$3)*I65</f>
        <v>4707.5806451612898</v>
      </c>
      <c r="Q65" s="68">
        <v>0</v>
      </c>
      <c r="R65" s="68">
        <v>0</v>
      </c>
      <c r="S65" s="68">
        <f t="shared" si="3"/>
        <v>11440.645161290322</v>
      </c>
      <c r="T65" s="69">
        <f t="shared" si="4"/>
        <v>667.74193548387086</v>
      </c>
      <c r="U65" s="69">
        <f t="shared" si="16"/>
        <v>201</v>
      </c>
      <c r="V65" s="68">
        <v>0</v>
      </c>
      <c r="W65" s="68">
        <v>12</v>
      </c>
      <c r="X65" s="68">
        <f t="shared" si="5"/>
        <v>880.74193548387086</v>
      </c>
      <c r="Y65" s="68">
        <f t="shared" si="6"/>
        <v>10559.903225806451</v>
      </c>
      <c r="Z65" s="68"/>
      <c r="AA65" s="68">
        <f t="shared" si="7"/>
        <v>10559.903225806451</v>
      </c>
      <c r="AB65" s="69">
        <f t="shared" si="8"/>
        <v>731.73387096774195</v>
      </c>
      <c r="AC65" s="69">
        <f t="shared" si="9"/>
        <v>544</v>
      </c>
      <c r="AD65" s="70">
        <f t="shared" si="10"/>
        <v>36</v>
      </c>
      <c r="AE65" s="71">
        <f t="shared" si="11"/>
        <v>1311.733870967742</v>
      </c>
      <c r="AF65" s="71">
        <f t="shared" si="12"/>
        <v>12752.379032258064</v>
      </c>
    </row>
    <row r="66" spans="1:32" x14ac:dyDescent="0.2">
      <c r="A66" s="64" t="s">
        <v>276</v>
      </c>
      <c r="B66" s="65">
        <v>61</v>
      </c>
      <c r="C66" s="65" t="s">
        <v>211</v>
      </c>
      <c r="D66" s="64" t="s">
        <v>276</v>
      </c>
      <c r="E66" s="66" t="s">
        <v>50</v>
      </c>
      <c r="F66" s="66" t="s">
        <v>484</v>
      </c>
      <c r="G66" s="67">
        <v>42767</v>
      </c>
      <c r="H66" s="67"/>
      <c r="I66" s="65">
        <v>17</v>
      </c>
      <c r="J66" s="68">
        <f t="shared" si="15"/>
        <v>2741.9354838709678</v>
      </c>
      <c r="K66" s="68">
        <f t="shared" si="1"/>
        <v>0</v>
      </c>
      <c r="L66" s="68">
        <f t="shared" si="2"/>
        <v>137.09677419354838</v>
      </c>
      <c r="M66" s="68"/>
      <c r="N66" s="68">
        <f t="shared" si="17"/>
        <v>438.70967741935482</v>
      </c>
      <c r="O66" s="68"/>
      <c r="P66" s="68">
        <f>((1950+1441+1043+0)/I$3)*I66</f>
        <v>2431.5483870967741</v>
      </c>
      <c r="Q66" s="68">
        <v>0</v>
      </c>
      <c r="R66" s="68">
        <v>0</v>
      </c>
      <c r="S66" s="68">
        <f t="shared" si="3"/>
        <v>5749.2903225806449</v>
      </c>
      <c r="T66" s="69">
        <f t="shared" si="4"/>
        <v>329.0322580645161</v>
      </c>
      <c r="U66" s="69">
        <f t="shared" si="16"/>
        <v>101</v>
      </c>
      <c r="V66" s="68">
        <v>0</v>
      </c>
      <c r="W66" s="68">
        <v>12</v>
      </c>
      <c r="X66" s="68">
        <f t="shared" si="5"/>
        <v>442.0322580645161</v>
      </c>
      <c r="Y66" s="68">
        <f t="shared" si="6"/>
        <v>5307.2580645161288</v>
      </c>
      <c r="Z66" s="68"/>
      <c r="AA66" s="68">
        <f t="shared" si="7"/>
        <v>5307.2580645161288</v>
      </c>
      <c r="AB66" s="69">
        <f t="shared" si="8"/>
        <v>360.56451612903226</v>
      </c>
      <c r="AC66" s="69">
        <f t="shared" si="9"/>
        <v>274</v>
      </c>
      <c r="AD66" s="70">
        <f t="shared" si="10"/>
        <v>36</v>
      </c>
      <c r="AE66" s="71">
        <f t="shared" si="11"/>
        <v>670.5645161290322</v>
      </c>
      <c r="AF66" s="71">
        <f t="shared" si="12"/>
        <v>6419.8548387096771</v>
      </c>
    </row>
    <row r="67" spans="1:32" x14ac:dyDescent="0.2">
      <c r="A67" s="64" t="s">
        <v>277</v>
      </c>
      <c r="B67" s="65">
        <v>62</v>
      </c>
      <c r="C67" s="65" t="s">
        <v>212</v>
      </c>
      <c r="D67" s="64" t="s">
        <v>277</v>
      </c>
      <c r="E67" s="66" t="s">
        <v>50</v>
      </c>
      <c r="F67" s="66" t="s">
        <v>484</v>
      </c>
      <c r="G67" s="67">
        <v>42767</v>
      </c>
      <c r="H67" s="67"/>
      <c r="I67" s="65">
        <v>37</v>
      </c>
      <c r="J67" s="68">
        <f t="shared" si="15"/>
        <v>5967.7419354838703</v>
      </c>
      <c r="K67" s="68">
        <f t="shared" si="1"/>
        <v>0</v>
      </c>
      <c r="L67" s="68">
        <f t="shared" si="2"/>
        <v>298.38709677419354</v>
      </c>
      <c r="M67" s="68"/>
      <c r="N67" s="68">
        <f t="shared" si="17"/>
        <v>954.83870967741927</v>
      </c>
      <c r="O67" s="68"/>
      <c r="P67" s="68">
        <f>((1950+1441+1043+0)/I$3)*I67</f>
        <v>5292.1935483870966</v>
      </c>
      <c r="Q67" s="68">
        <v>0</v>
      </c>
      <c r="R67" s="68">
        <v>0</v>
      </c>
      <c r="S67" s="68">
        <f t="shared" si="3"/>
        <v>12513.16129032258</v>
      </c>
      <c r="T67" s="69">
        <f t="shared" si="4"/>
        <v>716.1290322580644</v>
      </c>
      <c r="U67" s="69">
        <f t="shared" si="16"/>
        <v>219</v>
      </c>
      <c r="V67" s="68">
        <v>0</v>
      </c>
      <c r="W67" s="68">
        <v>12</v>
      </c>
      <c r="X67" s="68">
        <f t="shared" si="5"/>
        <v>947.1290322580644</v>
      </c>
      <c r="Y67" s="68">
        <f t="shared" si="6"/>
        <v>11566.032258064515</v>
      </c>
      <c r="Z67" s="68"/>
      <c r="AA67" s="68">
        <f t="shared" si="7"/>
        <v>11566.032258064515</v>
      </c>
      <c r="AB67" s="69">
        <f t="shared" si="8"/>
        <v>784.75806451612902</v>
      </c>
      <c r="AC67" s="69">
        <f t="shared" si="9"/>
        <v>595</v>
      </c>
      <c r="AD67" s="70">
        <f t="shared" si="10"/>
        <v>36</v>
      </c>
      <c r="AE67" s="71">
        <f t="shared" si="11"/>
        <v>1415.758064516129</v>
      </c>
      <c r="AF67" s="71">
        <f t="shared" si="12"/>
        <v>13928.919354838708</v>
      </c>
    </row>
    <row r="68" spans="1:32" x14ac:dyDescent="0.2">
      <c r="A68" s="64" t="s">
        <v>278</v>
      </c>
      <c r="B68" s="65">
        <v>63</v>
      </c>
      <c r="C68" s="65" t="s">
        <v>213</v>
      </c>
      <c r="D68" s="64" t="s">
        <v>278</v>
      </c>
      <c r="E68" s="66" t="s">
        <v>50</v>
      </c>
      <c r="F68" s="66" t="s">
        <v>234</v>
      </c>
      <c r="G68" s="67">
        <v>42767</v>
      </c>
      <c r="H68" s="67"/>
      <c r="I68" s="65">
        <v>31</v>
      </c>
      <c r="J68" s="68">
        <f t="shared" si="15"/>
        <v>5000</v>
      </c>
      <c r="K68" s="68">
        <f t="shared" si="1"/>
        <v>0</v>
      </c>
      <c r="L68" s="68">
        <f t="shared" si="2"/>
        <v>250</v>
      </c>
      <c r="M68" s="68"/>
      <c r="N68" s="68">
        <f t="shared" si="17"/>
        <v>800</v>
      </c>
      <c r="O68" s="68"/>
      <c r="P68" s="68">
        <f>((1950+1441+1043+814+0)/I$3)*I68</f>
        <v>5248</v>
      </c>
      <c r="Q68" s="68">
        <v>0</v>
      </c>
      <c r="R68" s="68">
        <v>0</v>
      </c>
      <c r="S68" s="68">
        <f t="shared" si="3"/>
        <v>11298</v>
      </c>
      <c r="T68" s="69">
        <f t="shared" si="4"/>
        <v>600</v>
      </c>
      <c r="U68" s="69">
        <f t="shared" si="16"/>
        <v>198</v>
      </c>
      <c r="V68" s="68">
        <v>0</v>
      </c>
      <c r="W68" s="68">
        <v>12</v>
      </c>
      <c r="X68" s="68">
        <f t="shared" si="5"/>
        <v>810</v>
      </c>
      <c r="Y68" s="68">
        <f t="shared" si="6"/>
        <v>10488</v>
      </c>
      <c r="Z68" s="68"/>
      <c r="AA68" s="68">
        <f t="shared" si="7"/>
        <v>10488</v>
      </c>
      <c r="AB68" s="69">
        <f t="shared" si="8"/>
        <v>657.5</v>
      </c>
      <c r="AC68" s="69">
        <f t="shared" si="9"/>
        <v>537</v>
      </c>
      <c r="AD68" s="70">
        <f t="shared" si="10"/>
        <v>36</v>
      </c>
      <c r="AE68" s="71">
        <f t="shared" si="11"/>
        <v>1230.5</v>
      </c>
      <c r="AF68" s="71">
        <f t="shared" si="12"/>
        <v>12528.5</v>
      </c>
    </row>
    <row r="69" spans="1:32" x14ac:dyDescent="0.2">
      <c r="A69" s="64" t="s">
        <v>280</v>
      </c>
      <c r="B69" s="65">
        <v>64</v>
      </c>
      <c r="C69" s="65" t="s">
        <v>1490</v>
      </c>
      <c r="D69" s="64" t="s">
        <v>280</v>
      </c>
      <c r="E69" s="66" t="s">
        <v>50</v>
      </c>
      <c r="F69" s="65" t="s">
        <v>238</v>
      </c>
      <c r="G69" s="67">
        <v>43083</v>
      </c>
      <c r="H69" s="67"/>
      <c r="I69" s="65">
        <v>22</v>
      </c>
      <c r="J69" s="68">
        <f t="shared" si="15"/>
        <v>3548.3870967741932</v>
      </c>
      <c r="K69" s="68">
        <f t="shared" si="1"/>
        <v>0</v>
      </c>
      <c r="L69" s="68">
        <f t="shared" si="2"/>
        <v>177.41935483870967</v>
      </c>
      <c r="M69" s="68"/>
      <c r="N69" s="68">
        <f t="shared" si="17"/>
        <v>567.74193548387098</v>
      </c>
      <c r="O69" s="68"/>
      <c r="P69" s="68">
        <f>((5248)/I$3)*I69</f>
        <v>3724.3870967741932</v>
      </c>
      <c r="Q69" s="68">
        <v>0</v>
      </c>
      <c r="R69" s="68">
        <v>0</v>
      </c>
      <c r="S69" s="68">
        <f t="shared" si="3"/>
        <v>8017.9354838709669</v>
      </c>
      <c r="T69" s="69">
        <f t="shared" si="4"/>
        <v>425.80645161290317</v>
      </c>
      <c r="U69" s="69">
        <f t="shared" si="16"/>
        <v>141</v>
      </c>
      <c r="V69" s="68">
        <v>0</v>
      </c>
      <c r="W69" s="68">
        <v>12</v>
      </c>
      <c r="X69" s="68">
        <f t="shared" si="5"/>
        <v>578.80645161290317</v>
      </c>
      <c r="Y69" s="68">
        <f t="shared" si="6"/>
        <v>7439.1290322580635</v>
      </c>
      <c r="Z69" s="68"/>
      <c r="AA69" s="68">
        <f t="shared" si="7"/>
        <v>7439.1290322580635</v>
      </c>
      <c r="AB69" s="69">
        <f t="shared" si="8"/>
        <v>466.61290322580641</v>
      </c>
      <c r="AC69" s="69">
        <f t="shared" si="9"/>
        <v>381</v>
      </c>
      <c r="AD69" s="70">
        <f t="shared" si="10"/>
        <v>36</v>
      </c>
      <c r="AE69" s="71">
        <f t="shared" si="11"/>
        <v>883.61290322580635</v>
      </c>
      <c r="AF69" s="71">
        <f t="shared" si="12"/>
        <v>8901.5483870967728</v>
      </c>
    </row>
    <row r="70" spans="1:32" x14ac:dyDescent="0.2">
      <c r="A70" s="64" t="s">
        <v>281</v>
      </c>
      <c r="B70" s="65">
        <v>65</v>
      </c>
      <c r="C70" s="65" t="s">
        <v>216</v>
      </c>
      <c r="D70" s="64" t="s">
        <v>281</v>
      </c>
      <c r="E70" s="66" t="s">
        <v>50</v>
      </c>
      <c r="F70" s="66" t="s">
        <v>484</v>
      </c>
      <c r="G70" s="67">
        <v>42767</v>
      </c>
      <c r="H70" s="67"/>
      <c r="I70" s="65">
        <v>35</v>
      </c>
      <c r="J70" s="68">
        <f t="shared" ref="J70:J101" si="18">(5000/I$3)*I70</f>
        <v>5645.1612903225805</v>
      </c>
      <c r="K70" s="68">
        <f t="shared" ref="K70:K133" si="19">((0)/I$3)*I70</f>
        <v>0</v>
      </c>
      <c r="L70" s="68">
        <f t="shared" ref="L70:L133" si="20">(J70+K70)*5%</f>
        <v>282.25806451612902</v>
      </c>
      <c r="M70" s="68"/>
      <c r="N70" s="68">
        <f t="shared" si="17"/>
        <v>903.22580645161281</v>
      </c>
      <c r="O70" s="68"/>
      <c r="P70" s="68">
        <f>((1950+1441+839+0)/I$3)*I70</f>
        <v>4775.8064516129025</v>
      </c>
      <c r="Q70" s="68">
        <v>0</v>
      </c>
      <c r="R70" s="68">
        <v>0</v>
      </c>
      <c r="S70" s="68">
        <f t="shared" ref="S70:S133" si="21">SUM(J70:R70)</f>
        <v>11606.451612903224</v>
      </c>
      <c r="T70" s="69">
        <f t="shared" ref="T70:T133" si="22">(J70+K70)*12%</f>
        <v>677.41935483870964</v>
      </c>
      <c r="U70" s="69">
        <f t="shared" si="16"/>
        <v>204</v>
      </c>
      <c r="V70" s="68">
        <v>0</v>
      </c>
      <c r="W70" s="68">
        <v>12</v>
      </c>
      <c r="X70" s="68">
        <f t="shared" ref="X70:X133" si="23">SUM(T70:W70)</f>
        <v>893.41935483870964</v>
      </c>
      <c r="Y70" s="68">
        <f t="shared" ref="Y70:Y133" si="24">S70-X70</f>
        <v>10713.032258064513</v>
      </c>
      <c r="Z70" s="68"/>
      <c r="AA70" s="68">
        <f t="shared" ref="AA70:AA133" si="25">Y70-Z70</f>
        <v>10713.032258064513</v>
      </c>
      <c r="AB70" s="69">
        <f t="shared" ref="AB70:AB133" si="26">(J70+K70)*13.15%</f>
        <v>742.33870967741939</v>
      </c>
      <c r="AC70" s="69">
        <f t="shared" ref="AC70:AC133" si="27">CEILING((S70)*4.75%,1)</f>
        <v>552</v>
      </c>
      <c r="AD70" s="70">
        <f t="shared" ref="AD70:AD133" si="28">W70*3</f>
        <v>36</v>
      </c>
      <c r="AE70" s="71">
        <f t="shared" ref="AE70:AE133" si="29">SUM(AB70:AD70)</f>
        <v>1330.3387096774195</v>
      </c>
      <c r="AF70" s="71">
        <f t="shared" ref="AF70:AF133" si="30">S70+AE70</f>
        <v>12936.790322580644</v>
      </c>
    </row>
    <row r="71" spans="1:32" x14ac:dyDescent="0.2">
      <c r="A71" s="64" t="s">
        <v>283</v>
      </c>
      <c r="B71" s="65">
        <v>66</v>
      </c>
      <c r="C71" s="65" t="s">
        <v>218</v>
      </c>
      <c r="D71" s="64" t="s">
        <v>283</v>
      </c>
      <c r="E71" s="66" t="s">
        <v>50</v>
      </c>
      <c r="F71" s="66" t="s">
        <v>242</v>
      </c>
      <c r="G71" s="67">
        <v>42767</v>
      </c>
      <c r="H71" s="67"/>
      <c r="I71" s="65">
        <v>35.5</v>
      </c>
      <c r="J71" s="68">
        <f t="shared" si="18"/>
        <v>5725.8064516129025</v>
      </c>
      <c r="K71" s="68">
        <f t="shared" si="19"/>
        <v>0</v>
      </c>
      <c r="L71" s="68">
        <f t="shared" si="20"/>
        <v>286.29032258064512</v>
      </c>
      <c r="M71" s="68"/>
      <c r="N71" s="68">
        <f t="shared" si="17"/>
        <v>916.12903225806451</v>
      </c>
      <c r="O71" s="68"/>
      <c r="P71" s="68">
        <f>((1950+1441+839+0)/I$3)*I71</f>
        <v>4844.0322580645161</v>
      </c>
      <c r="Q71" s="68">
        <v>0</v>
      </c>
      <c r="R71" s="68">
        <v>0</v>
      </c>
      <c r="S71" s="68">
        <f t="shared" si="21"/>
        <v>11772.258064516129</v>
      </c>
      <c r="T71" s="69">
        <f t="shared" si="22"/>
        <v>687.0967741935483</v>
      </c>
      <c r="U71" s="69">
        <f t="shared" si="16"/>
        <v>207</v>
      </c>
      <c r="V71" s="68">
        <v>0</v>
      </c>
      <c r="W71" s="68">
        <v>12</v>
      </c>
      <c r="X71" s="68">
        <f t="shared" si="23"/>
        <v>906.0967741935483</v>
      </c>
      <c r="Y71" s="68">
        <f t="shared" si="24"/>
        <v>10866.16129032258</v>
      </c>
      <c r="Z71" s="68"/>
      <c r="AA71" s="68">
        <f t="shared" si="25"/>
        <v>10866.16129032258</v>
      </c>
      <c r="AB71" s="69">
        <f t="shared" si="26"/>
        <v>752.94354838709671</v>
      </c>
      <c r="AC71" s="69">
        <f t="shared" si="27"/>
        <v>560</v>
      </c>
      <c r="AD71" s="70">
        <f t="shared" si="28"/>
        <v>36</v>
      </c>
      <c r="AE71" s="71">
        <f t="shared" si="29"/>
        <v>1348.9435483870966</v>
      </c>
      <c r="AF71" s="71">
        <f t="shared" si="30"/>
        <v>13121.201612903225</v>
      </c>
    </row>
    <row r="72" spans="1:32" x14ac:dyDescent="0.2">
      <c r="A72" s="64" t="s">
        <v>296</v>
      </c>
      <c r="B72" s="65">
        <v>67</v>
      </c>
      <c r="C72" s="65" t="s">
        <v>349</v>
      </c>
      <c r="D72" s="64" t="s">
        <v>296</v>
      </c>
      <c r="E72" s="66" t="s">
        <v>50</v>
      </c>
      <c r="F72" s="66" t="s">
        <v>240</v>
      </c>
      <c r="G72" s="67">
        <v>42795</v>
      </c>
      <c r="H72" s="67"/>
      <c r="I72" s="65">
        <v>31</v>
      </c>
      <c r="J72" s="68">
        <f t="shared" si="18"/>
        <v>5000</v>
      </c>
      <c r="K72" s="68">
        <f t="shared" si="19"/>
        <v>0</v>
      </c>
      <c r="L72" s="68">
        <f t="shared" si="20"/>
        <v>250</v>
      </c>
      <c r="M72" s="68"/>
      <c r="N72" s="68">
        <f t="shared" si="17"/>
        <v>800</v>
      </c>
      <c r="O72" s="68"/>
      <c r="P72" s="68">
        <f>((1950+1441+3384+1018+0)/I$3)*I72</f>
        <v>7793</v>
      </c>
      <c r="Q72" s="68">
        <v>0</v>
      </c>
      <c r="R72" s="68">
        <v>0</v>
      </c>
      <c r="S72" s="68">
        <f t="shared" si="21"/>
        <v>13843</v>
      </c>
      <c r="T72" s="69">
        <f t="shared" si="22"/>
        <v>600</v>
      </c>
      <c r="U72" s="69">
        <f t="shared" ref="U72:U103" si="31">ROUNDUP((S72*1.75%),0)</f>
        <v>243</v>
      </c>
      <c r="V72" s="68">
        <v>0</v>
      </c>
      <c r="W72" s="68">
        <v>12</v>
      </c>
      <c r="X72" s="68">
        <f t="shared" si="23"/>
        <v>855</v>
      </c>
      <c r="Y72" s="68">
        <f t="shared" si="24"/>
        <v>12988</v>
      </c>
      <c r="Z72" s="68"/>
      <c r="AA72" s="68">
        <f t="shared" si="25"/>
        <v>12988</v>
      </c>
      <c r="AB72" s="69">
        <f t="shared" si="26"/>
        <v>657.5</v>
      </c>
      <c r="AC72" s="69">
        <f t="shared" si="27"/>
        <v>658</v>
      </c>
      <c r="AD72" s="70">
        <f t="shared" si="28"/>
        <v>36</v>
      </c>
      <c r="AE72" s="71">
        <f t="shared" si="29"/>
        <v>1351.5</v>
      </c>
      <c r="AF72" s="71">
        <f t="shared" si="30"/>
        <v>15194.5</v>
      </c>
    </row>
    <row r="73" spans="1:32" x14ac:dyDescent="0.2">
      <c r="A73" s="64" t="s">
        <v>297</v>
      </c>
      <c r="B73" s="65">
        <v>68</v>
      </c>
      <c r="C73" s="65" t="s">
        <v>254</v>
      </c>
      <c r="D73" s="64" t="s">
        <v>297</v>
      </c>
      <c r="E73" s="66" t="s">
        <v>50</v>
      </c>
      <c r="F73" s="66" t="s">
        <v>240</v>
      </c>
      <c r="G73" s="67">
        <v>42795</v>
      </c>
      <c r="H73" s="67"/>
      <c r="I73" s="65">
        <v>35</v>
      </c>
      <c r="J73" s="68">
        <f t="shared" si="18"/>
        <v>5645.1612903225805</v>
      </c>
      <c r="K73" s="68">
        <f t="shared" si="19"/>
        <v>0</v>
      </c>
      <c r="L73" s="68">
        <f t="shared" si="20"/>
        <v>282.25806451612902</v>
      </c>
      <c r="M73" s="68"/>
      <c r="N73" s="68">
        <f t="shared" ref="N73:N104" si="32">((800)/I$3)*I73</f>
        <v>903.22580645161281</v>
      </c>
      <c r="O73" s="68"/>
      <c r="P73" s="68">
        <f>((1950+1441-178+3562+1018)/I$3)*I73</f>
        <v>8798.5483870967746</v>
      </c>
      <c r="Q73" s="68">
        <v>0</v>
      </c>
      <c r="R73" s="68">
        <v>0</v>
      </c>
      <c r="S73" s="68">
        <f t="shared" si="21"/>
        <v>15629.193548387097</v>
      </c>
      <c r="T73" s="69">
        <f t="shared" si="22"/>
        <v>677.41935483870964</v>
      </c>
      <c r="U73" s="69">
        <f t="shared" si="31"/>
        <v>274</v>
      </c>
      <c r="V73" s="68">
        <v>0</v>
      </c>
      <c r="W73" s="68">
        <v>12</v>
      </c>
      <c r="X73" s="68">
        <f t="shared" si="23"/>
        <v>963.41935483870964</v>
      </c>
      <c r="Y73" s="68">
        <f t="shared" si="24"/>
        <v>14665.774193548386</v>
      </c>
      <c r="Z73" s="68"/>
      <c r="AA73" s="68">
        <f t="shared" si="25"/>
        <v>14665.774193548386</v>
      </c>
      <c r="AB73" s="69">
        <f t="shared" si="26"/>
        <v>742.33870967741939</v>
      </c>
      <c r="AC73" s="69">
        <f t="shared" si="27"/>
        <v>743</v>
      </c>
      <c r="AD73" s="70">
        <f t="shared" si="28"/>
        <v>36</v>
      </c>
      <c r="AE73" s="71">
        <f t="shared" si="29"/>
        <v>1521.3387096774195</v>
      </c>
      <c r="AF73" s="71">
        <f t="shared" si="30"/>
        <v>17150.532258064515</v>
      </c>
    </row>
    <row r="74" spans="1:32" x14ac:dyDescent="0.2">
      <c r="A74" s="64" t="s">
        <v>299</v>
      </c>
      <c r="B74" s="65">
        <v>69</v>
      </c>
      <c r="C74" s="65" t="s">
        <v>256</v>
      </c>
      <c r="D74" s="64" t="s">
        <v>299</v>
      </c>
      <c r="E74" s="66" t="s">
        <v>50</v>
      </c>
      <c r="F74" s="66" t="s">
        <v>238</v>
      </c>
      <c r="G74" s="67">
        <v>42795</v>
      </c>
      <c r="H74" s="67"/>
      <c r="I74" s="65">
        <v>35.5</v>
      </c>
      <c r="J74" s="68">
        <f t="shared" si="18"/>
        <v>5725.8064516129025</v>
      </c>
      <c r="K74" s="68">
        <f t="shared" si="19"/>
        <v>0</v>
      </c>
      <c r="L74" s="68">
        <f t="shared" si="20"/>
        <v>286.29032258064512</v>
      </c>
      <c r="M74" s="68"/>
      <c r="N74" s="68">
        <f t="shared" si="32"/>
        <v>916.12903225806451</v>
      </c>
      <c r="O74" s="68"/>
      <c r="P74" s="68">
        <f>((1950+1441+839+1018)/I$3)*I74</f>
        <v>6009.8064516129025</v>
      </c>
      <c r="Q74" s="68">
        <v>0</v>
      </c>
      <c r="R74" s="68">
        <v>0</v>
      </c>
      <c r="S74" s="68">
        <f t="shared" si="21"/>
        <v>12938.032258064515</v>
      </c>
      <c r="T74" s="69">
        <f t="shared" si="22"/>
        <v>687.0967741935483</v>
      </c>
      <c r="U74" s="69">
        <f t="shared" si="31"/>
        <v>227</v>
      </c>
      <c r="V74" s="68">
        <v>0</v>
      </c>
      <c r="W74" s="68">
        <v>12</v>
      </c>
      <c r="X74" s="68">
        <f t="shared" si="23"/>
        <v>926.0967741935483</v>
      </c>
      <c r="Y74" s="68">
        <f t="shared" si="24"/>
        <v>12011.935483870966</v>
      </c>
      <c r="Z74" s="68"/>
      <c r="AA74" s="68">
        <f t="shared" si="25"/>
        <v>12011.935483870966</v>
      </c>
      <c r="AB74" s="69">
        <f t="shared" si="26"/>
        <v>752.94354838709671</v>
      </c>
      <c r="AC74" s="69">
        <f t="shared" si="27"/>
        <v>615</v>
      </c>
      <c r="AD74" s="70">
        <f t="shared" si="28"/>
        <v>36</v>
      </c>
      <c r="AE74" s="71">
        <f t="shared" si="29"/>
        <v>1403.9435483870966</v>
      </c>
      <c r="AF74" s="71">
        <f t="shared" si="30"/>
        <v>14341.975806451612</v>
      </c>
    </row>
    <row r="75" spans="1:32" x14ac:dyDescent="0.2">
      <c r="A75" s="64" t="s">
        <v>300</v>
      </c>
      <c r="B75" s="65">
        <v>70</v>
      </c>
      <c r="C75" s="65" t="s">
        <v>257</v>
      </c>
      <c r="D75" s="64" t="s">
        <v>300</v>
      </c>
      <c r="E75" s="66" t="s">
        <v>50</v>
      </c>
      <c r="F75" s="66" t="s">
        <v>484</v>
      </c>
      <c r="G75" s="67">
        <v>42795</v>
      </c>
      <c r="H75" s="67"/>
      <c r="I75" s="65">
        <v>35</v>
      </c>
      <c r="J75" s="68">
        <f t="shared" si="18"/>
        <v>5645.1612903225805</v>
      </c>
      <c r="K75" s="68">
        <f t="shared" si="19"/>
        <v>0</v>
      </c>
      <c r="L75" s="68">
        <f t="shared" si="20"/>
        <v>282.25806451612902</v>
      </c>
      <c r="M75" s="68"/>
      <c r="N75" s="68">
        <f t="shared" si="32"/>
        <v>903.22580645161281</v>
      </c>
      <c r="O75" s="68"/>
      <c r="P75" s="68">
        <f>((1950+1441+839+0)/I$3)*I75</f>
        <v>4775.8064516129025</v>
      </c>
      <c r="Q75" s="68">
        <v>0</v>
      </c>
      <c r="R75" s="68">
        <v>0</v>
      </c>
      <c r="S75" s="68">
        <f t="shared" si="21"/>
        <v>11606.451612903224</v>
      </c>
      <c r="T75" s="69">
        <f t="shared" si="22"/>
        <v>677.41935483870964</v>
      </c>
      <c r="U75" s="69">
        <f t="shared" si="31"/>
        <v>204</v>
      </c>
      <c r="V75" s="68">
        <v>0</v>
      </c>
      <c r="W75" s="68">
        <v>12</v>
      </c>
      <c r="X75" s="68">
        <f t="shared" si="23"/>
        <v>893.41935483870964</v>
      </c>
      <c r="Y75" s="68">
        <f t="shared" si="24"/>
        <v>10713.032258064513</v>
      </c>
      <c r="Z75" s="68"/>
      <c r="AA75" s="68">
        <f t="shared" si="25"/>
        <v>10713.032258064513</v>
      </c>
      <c r="AB75" s="69">
        <f t="shared" si="26"/>
        <v>742.33870967741939</v>
      </c>
      <c r="AC75" s="69">
        <f t="shared" si="27"/>
        <v>552</v>
      </c>
      <c r="AD75" s="70">
        <f t="shared" si="28"/>
        <v>36</v>
      </c>
      <c r="AE75" s="71">
        <f t="shared" si="29"/>
        <v>1330.3387096774195</v>
      </c>
      <c r="AF75" s="71">
        <f t="shared" si="30"/>
        <v>12936.790322580644</v>
      </c>
    </row>
    <row r="76" spans="1:32" x14ac:dyDescent="0.2">
      <c r="A76" s="64" t="s">
        <v>302</v>
      </c>
      <c r="B76" s="65">
        <v>71</v>
      </c>
      <c r="C76" s="65" t="s">
        <v>259</v>
      </c>
      <c r="D76" s="64" t="s">
        <v>302</v>
      </c>
      <c r="E76" s="66" t="s">
        <v>50</v>
      </c>
      <c r="F76" s="66" t="s">
        <v>240</v>
      </c>
      <c r="G76" s="67">
        <v>42795</v>
      </c>
      <c r="H76" s="67"/>
      <c r="I76" s="65">
        <v>32</v>
      </c>
      <c r="J76" s="68">
        <f t="shared" si="18"/>
        <v>5161.2903225806449</v>
      </c>
      <c r="K76" s="68">
        <f t="shared" si="19"/>
        <v>0</v>
      </c>
      <c r="L76" s="68">
        <f t="shared" si="20"/>
        <v>258.06451612903226</v>
      </c>
      <c r="M76" s="68"/>
      <c r="N76" s="68">
        <f t="shared" si="32"/>
        <v>825.80645161290317</v>
      </c>
      <c r="O76" s="68"/>
      <c r="P76" s="68">
        <f>((1950+1441+839+1527+1018)/I$3)*I76</f>
        <v>6993.5483870967746</v>
      </c>
      <c r="Q76" s="68">
        <v>0</v>
      </c>
      <c r="R76" s="68">
        <v>0</v>
      </c>
      <c r="S76" s="68">
        <f t="shared" si="21"/>
        <v>13238.709677419356</v>
      </c>
      <c r="T76" s="69">
        <f t="shared" si="22"/>
        <v>619.35483870967732</v>
      </c>
      <c r="U76" s="69">
        <f t="shared" si="31"/>
        <v>232</v>
      </c>
      <c r="V76" s="68">
        <v>0</v>
      </c>
      <c r="W76" s="68">
        <v>12</v>
      </c>
      <c r="X76" s="68">
        <f t="shared" si="23"/>
        <v>863.35483870967732</v>
      </c>
      <c r="Y76" s="68">
        <f t="shared" si="24"/>
        <v>12375.354838709678</v>
      </c>
      <c r="Z76" s="68"/>
      <c r="AA76" s="68">
        <f t="shared" si="25"/>
        <v>12375.354838709678</v>
      </c>
      <c r="AB76" s="69">
        <f t="shared" si="26"/>
        <v>678.70967741935488</v>
      </c>
      <c r="AC76" s="69">
        <f t="shared" si="27"/>
        <v>629</v>
      </c>
      <c r="AD76" s="70">
        <f t="shared" si="28"/>
        <v>36</v>
      </c>
      <c r="AE76" s="71">
        <f t="shared" si="29"/>
        <v>1343.7096774193549</v>
      </c>
      <c r="AF76" s="71">
        <f t="shared" si="30"/>
        <v>14582.41935483871</v>
      </c>
    </row>
    <row r="77" spans="1:32" x14ac:dyDescent="0.2">
      <c r="A77" s="64" t="s">
        <v>306</v>
      </c>
      <c r="B77" s="65">
        <v>72</v>
      </c>
      <c r="C77" s="65" t="s">
        <v>704</v>
      </c>
      <c r="D77" s="64" t="s">
        <v>306</v>
      </c>
      <c r="E77" s="66" t="s">
        <v>50</v>
      </c>
      <c r="F77" s="66" t="s">
        <v>484</v>
      </c>
      <c r="G77" s="67">
        <v>42795</v>
      </c>
      <c r="H77" s="67"/>
      <c r="I77" s="65">
        <v>34</v>
      </c>
      <c r="J77" s="68">
        <f t="shared" si="18"/>
        <v>5483.8709677419356</v>
      </c>
      <c r="K77" s="68">
        <f t="shared" si="19"/>
        <v>0</v>
      </c>
      <c r="L77" s="68">
        <f t="shared" si="20"/>
        <v>274.19354838709677</v>
      </c>
      <c r="M77" s="68"/>
      <c r="N77" s="68">
        <f t="shared" si="32"/>
        <v>877.41935483870964</v>
      </c>
      <c r="O77" s="68"/>
      <c r="P77" s="68">
        <f>((1950+1441+839+0)/I$3)*I77</f>
        <v>4639.3548387096771</v>
      </c>
      <c r="Q77" s="68">
        <v>0</v>
      </c>
      <c r="R77" s="68">
        <v>0</v>
      </c>
      <c r="S77" s="68">
        <f t="shared" si="21"/>
        <v>11274.838709677419</v>
      </c>
      <c r="T77" s="69">
        <f t="shared" si="22"/>
        <v>658.0645161290322</v>
      </c>
      <c r="U77" s="69">
        <f t="shared" si="31"/>
        <v>198</v>
      </c>
      <c r="V77" s="68">
        <v>0</v>
      </c>
      <c r="W77" s="68">
        <v>12</v>
      </c>
      <c r="X77" s="68">
        <f t="shared" si="23"/>
        <v>868.0645161290322</v>
      </c>
      <c r="Y77" s="68">
        <f t="shared" si="24"/>
        <v>10406.774193548386</v>
      </c>
      <c r="Z77" s="68"/>
      <c r="AA77" s="68">
        <f t="shared" si="25"/>
        <v>10406.774193548386</v>
      </c>
      <c r="AB77" s="69">
        <f t="shared" si="26"/>
        <v>721.12903225806451</v>
      </c>
      <c r="AC77" s="69">
        <f t="shared" si="27"/>
        <v>536</v>
      </c>
      <c r="AD77" s="70">
        <f t="shared" si="28"/>
        <v>36</v>
      </c>
      <c r="AE77" s="71">
        <f t="shared" si="29"/>
        <v>1293.1290322580644</v>
      </c>
      <c r="AF77" s="71">
        <f t="shared" si="30"/>
        <v>12567.967741935483</v>
      </c>
    </row>
    <row r="78" spans="1:32" x14ac:dyDescent="0.2">
      <c r="A78" s="64" t="s">
        <v>415</v>
      </c>
      <c r="B78" s="65">
        <v>73</v>
      </c>
      <c r="C78" s="65" t="s">
        <v>324</v>
      </c>
      <c r="D78" s="64" t="s">
        <v>415</v>
      </c>
      <c r="E78" s="66" t="s">
        <v>50</v>
      </c>
      <c r="F78" s="65" t="s">
        <v>239</v>
      </c>
      <c r="G78" s="67">
        <v>42826</v>
      </c>
      <c r="H78" s="67"/>
      <c r="I78" s="65">
        <v>36</v>
      </c>
      <c r="J78" s="68">
        <f t="shared" si="18"/>
        <v>5806.4516129032254</v>
      </c>
      <c r="K78" s="68">
        <f t="shared" si="19"/>
        <v>0</v>
      </c>
      <c r="L78" s="68">
        <f t="shared" si="20"/>
        <v>290.32258064516128</v>
      </c>
      <c r="M78" s="68"/>
      <c r="N78" s="68">
        <f t="shared" si="32"/>
        <v>929.0322580645161</v>
      </c>
      <c r="O78" s="68"/>
      <c r="P78" s="68">
        <f>((1950+1441+839+0)/I$3)*I78</f>
        <v>4912.2580645161288</v>
      </c>
      <c r="Q78" s="68">
        <v>0</v>
      </c>
      <c r="R78" s="68">
        <v>0</v>
      </c>
      <c r="S78" s="68">
        <f t="shared" si="21"/>
        <v>11938.06451612903</v>
      </c>
      <c r="T78" s="69">
        <f t="shared" si="22"/>
        <v>696.77419354838707</v>
      </c>
      <c r="U78" s="69">
        <f t="shared" si="31"/>
        <v>209</v>
      </c>
      <c r="V78" s="68">
        <v>0</v>
      </c>
      <c r="W78" s="68">
        <v>12</v>
      </c>
      <c r="X78" s="68">
        <f t="shared" si="23"/>
        <v>917.77419354838707</v>
      </c>
      <c r="Y78" s="68">
        <f t="shared" si="24"/>
        <v>11020.290322580644</v>
      </c>
      <c r="Z78" s="68"/>
      <c r="AA78" s="68">
        <f t="shared" si="25"/>
        <v>11020.290322580644</v>
      </c>
      <c r="AB78" s="69">
        <f t="shared" si="26"/>
        <v>763.54838709677415</v>
      </c>
      <c r="AC78" s="69">
        <f t="shared" si="27"/>
        <v>568</v>
      </c>
      <c r="AD78" s="70">
        <f t="shared" si="28"/>
        <v>36</v>
      </c>
      <c r="AE78" s="71">
        <f t="shared" si="29"/>
        <v>1367.5483870967741</v>
      </c>
      <c r="AF78" s="71">
        <f t="shared" si="30"/>
        <v>13305.612903225805</v>
      </c>
    </row>
    <row r="79" spans="1:32" x14ac:dyDescent="0.2">
      <c r="A79" s="64" t="s">
        <v>582</v>
      </c>
      <c r="B79" s="65">
        <v>74</v>
      </c>
      <c r="C79" s="65" t="s">
        <v>63</v>
      </c>
      <c r="D79" s="64" t="s">
        <v>582</v>
      </c>
      <c r="E79" s="66" t="s">
        <v>50</v>
      </c>
      <c r="F79" s="65" t="s">
        <v>581</v>
      </c>
      <c r="G79" s="67">
        <v>42826</v>
      </c>
      <c r="H79" s="67"/>
      <c r="I79" s="65">
        <v>36</v>
      </c>
      <c r="J79" s="68">
        <f t="shared" si="18"/>
        <v>5806.4516129032254</v>
      </c>
      <c r="K79" s="68">
        <f t="shared" si="19"/>
        <v>0</v>
      </c>
      <c r="L79" s="68">
        <f t="shared" si="20"/>
        <v>290.32258064516128</v>
      </c>
      <c r="M79" s="68"/>
      <c r="N79" s="68">
        <f t="shared" si="32"/>
        <v>929.0322580645161</v>
      </c>
      <c r="O79" s="68"/>
      <c r="P79" s="68">
        <f>((1950+1441-178+1017+0)/I$3)*I79</f>
        <v>4912.2580645161288</v>
      </c>
      <c r="Q79" s="68">
        <v>0</v>
      </c>
      <c r="R79" s="68">
        <v>0</v>
      </c>
      <c r="S79" s="68">
        <f t="shared" si="21"/>
        <v>11938.06451612903</v>
      </c>
      <c r="T79" s="69">
        <f t="shared" si="22"/>
        <v>696.77419354838707</v>
      </c>
      <c r="U79" s="69">
        <f t="shared" si="31"/>
        <v>209</v>
      </c>
      <c r="V79" s="68">
        <v>0</v>
      </c>
      <c r="W79" s="68">
        <v>12</v>
      </c>
      <c r="X79" s="68">
        <f t="shared" si="23"/>
        <v>917.77419354838707</v>
      </c>
      <c r="Y79" s="68">
        <f t="shared" si="24"/>
        <v>11020.290322580644</v>
      </c>
      <c r="Z79" s="68"/>
      <c r="AA79" s="68">
        <f t="shared" si="25"/>
        <v>11020.290322580644</v>
      </c>
      <c r="AB79" s="69">
        <f t="shared" si="26"/>
        <v>763.54838709677415</v>
      </c>
      <c r="AC79" s="69">
        <f t="shared" si="27"/>
        <v>568</v>
      </c>
      <c r="AD79" s="70">
        <f t="shared" si="28"/>
        <v>36</v>
      </c>
      <c r="AE79" s="71">
        <f t="shared" si="29"/>
        <v>1367.5483870967741</v>
      </c>
      <c r="AF79" s="71">
        <f t="shared" si="30"/>
        <v>13305.612903225805</v>
      </c>
    </row>
    <row r="80" spans="1:32" x14ac:dyDescent="0.2">
      <c r="A80" s="64" t="s">
        <v>416</v>
      </c>
      <c r="B80" s="65">
        <v>75</v>
      </c>
      <c r="C80" s="65" t="s">
        <v>326</v>
      </c>
      <c r="D80" s="64" t="s">
        <v>416</v>
      </c>
      <c r="E80" s="66" t="s">
        <v>50</v>
      </c>
      <c r="F80" s="65" t="s">
        <v>239</v>
      </c>
      <c r="G80" s="67">
        <v>42826</v>
      </c>
      <c r="H80" s="67"/>
      <c r="I80" s="65">
        <v>35.5</v>
      </c>
      <c r="J80" s="68">
        <f t="shared" si="18"/>
        <v>5725.8064516129025</v>
      </c>
      <c r="K80" s="68">
        <f t="shared" si="19"/>
        <v>0</v>
      </c>
      <c r="L80" s="68">
        <f t="shared" si="20"/>
        <v>286.29032258064512</v>
      </c>
      <c r="M80" s="68"/>
      <c r="N80" s="68">
        <f t="shared" si="32"/>
        <v>916.12903225806451</v>
      </c>
      <c r="O80" s="68"/>
      <c r="P80" s="68">
        <f>((1950+1441-178+1526+1018+0)/I$3)*I80</f>
        <v>6592.6935483870975</v>
      </c>
      <c r="Q80" s="68">
        <v>0</v>
      </c>
      <c r="R80" s="68">
        <v>0</v>
      </c>
      <c r="S80" s="68">
        <f t="shared" si="21"/>
        <v>13520.919354838708</v>
      </c>
      <c r="T80" s="69">
        <f t="shared" si="22"/>
        <v>687.0967741935483</v>
      </c>
      <c r="U80" s="69">
        <f t="shared" si="31"/>
        <v>237</v>
      </c>
      <c r="V80" s="68">
        <v>0</v>
      </c>
      <c r="W80" s="68">
        <v>12</v>
      </c>
      <c r="X80" s="68">
        <f t="shared" si="23"/>
        <v>936.0967741935483</v>
      </c>
      <c r="Y80" s="68">
        <f t="shared" si="24"/>
        <v>12584.822580645159</v>
      </c>
      <c r="Z80" s="68"/>
      <c r="AA80" s="68">
        <f t="shared" si="25"/>
        <v>12584.822580645159</v>
      </c>
      <c r="AB80" s="69">
        <f t="shared" si="26"/>
        <v>752.94354838709671</v>
      </c>
      <c r="AC80" s="69">
        <f t="shared" si="27"/>
        <v>643</v>
      </c>
      <c r="AD80" s="70">
        <f t="shared" si="28"/>
        <v>36</v>
      </c>
      <c r="AE80" s="71">
        <f t="shared" si="29"/>
        <v>1431.9435483870966</v>
      </c>
      <c r="AF80" s="71">
        <f t="shared" si="30"/>
        <v>14952.862903225805</v>
      </c>
    </row>
    <row r="81" spans="1:32" x14ac:dyDescent="0.2">
      <c r="A81" s="64" t="s">
        <v>417</v>
      </c>
      <c r="B81" s="65">
        <v>76</v>
      </c>
      <c r="C81" s="65" t="s">
        <v>327</v>
      </c>
      <c r="D81" s="64" t="s">
        <v>417</v>
      </c>
      <c r="E81" s="66" t="s">
        <v>50</v>
      </c>
      <c r="F81" s="65" t="s">
        <v>234</v>
      </c>
      <c r="G81" s="67">
        <v>42826</v>
      </c>
      <c r="H81" s="67"/>
      <c r="I81" s="65">
        <v>30</v>
      </c>
      <c r="J81" s="68">
        <f t="shared" si="18"/>
        <v>4838.7096774193542</v>
      </c>
      <c r="K81" s="68">
        <f t="shared" si="19"/>
        <v>0</v>
      </c>
      <c r="L81" s="68">
        <f t="shared" si="20"/>
        <v>241.93548387096772</v>
      </c>
      <c r="M81" s="68"/>
      <c r="N81" s="68">
        <f t="shared" si="32"/>
        <v>774.19354838709671</v>
      </c>
      <c r="O81" s="68"/>
      <c r="P81" s="68">
        <f>((1950+1441-178+1017+1018+0)/I$3)*I81</f>
        <v>5078.7096774193542</v>
      </c>
      <c r="Q81" s="68">
        <v>0</v>
      </c>
      <c r="R81" s="68">
        <v>0</v>
      </c>
      <c r="S81" s="68">
        <f t="shared" si="21"/>
        <v>10933.548387096773</v>
      </c>
      <c r="T81" s="69">
        <f t="shared" si="22"/>
        <v>580.64516129032245</v>
      </c>
      <c r="U81" s="69">
        <f t="shared" si="31"/>
        <v>192</v>
      </c>
      <c r="V81" s="68">
        <v>0</v>
      </c>
      <c r="W81" s="68">
        <v>12</v>
      </c>
      <c r="X81" s="68">
        <f t="shared" si="23"/>
        <v>784.64516129032245</v>
      </c>
      <c r="Y81" s="68">
        <f t="shared" si="24"/>
        <v>10148.903225806451</v>
      </c>
      <c r="Z81" s="68"/>
      <c r="AA81" s="68">
        <f t="shared" si="25"/>
        <v>10148.903225806451</v>
      </c>
      <c r="AB81" s="69">
        <f t="shared" si="26"/>
        <v>636.29032258064512</v>
      </c>
      <c r="AC81" s="69">
        <f t="shared" si="27"/>
        <v>520</v>
      </c>
      <c r="AD81" s="70">
        <f t="shared" si="28"/>
        <v>36</v>
      </c>
      <c r="AE81" s="71">
        <f t="shared" si="29"/>
        <v>1192.2903225806451</v>
      </c>
      <c r="AF81" s="71">
        <f t="shared" si="30"/>
        <v>12125.838709677419</v>
      </c>
    </row>
    <row r="82" spans="1:32" x14ac:dyDescent="0.2">
      <c r="A82" s="64" t="s">
        <v>419</v>
      </c>
      <c r="B82" s="65">
        <v>77</v>
      </c>
      <c r="C82" s="65" t="s">
        <v>328</v>
      </c>
      <c r="D82" s="64" t="s">
        <v>419</v>
      </c>
      <c r="E82" s="66" t="s">
        <v>50</v>
      </c>
      <c r="F82" s="65" t="s">
        <v>234</v>
      </c>
      <c r="G82" s="67">
        <v>42826</v>
      </c>
      <c r="H82" s="67"/>
      <c r="I82" s="65">
        <v>2</v>
      </c>
      <c r="J82" s="68">
        <f t="shared" si="18"/>
        <v>322.58064516129031</v>
      </c>
      <c r="K82" s="68">
        <f t="shared" si="19"/>
        <v>0</v>
      </c>
      <c r="L82" s="68">
        <f t="shared" si="20"/>
        <v>16.129032258064516</v>
      </c>
      <c r="M82" s="68"/>
      <c r="N82" s="68">
        <f t="shared" si="32"/>
        <v>51.612903225806448</v>
      </c>
      <c r="O82" s="68"/>
      <c r="P82" s="68">
        <f>((1950+1441-178+1017+1018+0)/I$3)*I82</f>
        <v>338.58064516129031</v>
      </c>
      <c r="Q82" s="68">
        <v>0</v>
      </c>
      <c r="R82" s="68">
        <v>0</v>
      </c>
      <c r="S82" s="68">
        <f t="shared" si="21"/>
        <v>728.90322580645159</v>
      </c>
      <c r="T82" s="69">
        <f t="shared" si="22"/>
        <v>38.709677419354833</v>
      </c>
      <c r="U82" s="69">
        <f t="shared" si="31"/>
        <v>13</v>
      </c>
      <c r="V82" s="68">
        <v>0</v>
      </c>
      <c r="W82" s="68">
        <v>12</v>
      </c>
      <c r="X82" s="68">
        <f t="shared" si="23"/>
        <v>63.709677419354833</v>
      </c>
      <c r="Y82" s="68">
        <f t="shared" si="24"/>
        <v>665.19354838709671</v>
      </c>
      <c r="Z82" s="68"/>
      <c r="AA82" s="68">
        <f t="shared" si="25"/>
        <v>665.19354838709671</v>
      </c>
      <c r="AB82" s="69">
        <f t="shared" si="26"/>
        <v>42.41935483870968</v>
      </c>
      <c r="AC82" s="69">
        <f t="shared" si="27"/>
        <v>35</v>
      </c>
      <c r="AD82" s="70">
        <f t="shared" si="28"/>
        <v>36</v>
      </c>
      <c r="AE82" s="71">
        <f t="shared" si="29"/>
        <v>113.41935483870968</v>
      </c>
      <c r="AF82" s="71">
        <f t="shared" si="30"/>
        <v>842.32258064516122</v>
      </c>
    </row>
    <row r="83" spans="1:32" x14ac:dyDescent="0.2">
      <c r="A83" s="64" t="s">
        <v>420</v>
      </c>
      <c r="B83" s="65">
        <v>78</v>
      </c>
      <c r="C83" s="65" t="s">
        <v>329</v>
      </c>
      <c r="D83" s="64" t="s">
        <v>420</v>
      </c>
      <c r="E83" s="66" t="s">
        <v>50</v>
      </c>
      <c r="F83" s="65" t="s">
        <v>484</v>
      </c>
      <c r="G83" s="67">
        <v>42826</v>
      </c>
      <c r="H83" s="67"/>
      <c r="I83" s="65">
        <v>36</v>
      </c>
      <c r="J83" s="68">
        <f t="shared" si="18"/>
        <v>5806.4516129032254</v>
      </c>
      <c r="K83" s="68">
        <f t="shared" si="19"/>
        <v>0</v>
      </c>
      <c r="L83" s="68">
        <f t="shared" si="20"/>
        <v>290.32258064516128</v>
      </c>
      <c r="M83" s="68"/>
      <c r="N83" s="68">
        <f t="shared" si="32"/>
        <v>929.0322580645161</v>
      </c>
      <c r="O83" s="68"/>
      <c r="P83" s="68">
        <f>((1950+1441+1806)/I$3)*I83</f>
        <v>6035.2258064516136</v>
      </c>
      <c r="Q83" s="68">
        <v>0</v>
      </c>
      <c r="R83" s="68">
        <v>0</v>
      </c>
      <c r="S83" s="68">
        <f t="shared" si="21"/>
        <v>13061.032258064515</v>
      </c>
      <c r="T83" s="69">
        <f t="shared" si="22"/>
        <v>696.77419354838707</v>
      </c>
      <c r="U83" s="69">
        <f t="shared" si="31"/>
        <v>229</v>
      </c>
      <c r="V83" s="68">
        <v>0</v>
      </c>
      <c r="W83" s="68">
        <v>12</v>
      </c>
      <c r="X83" s="68">
        <f t="shared" si="23"/>
        <v>937.77419354838707</v>
      </c>
      <c r="Y83" s="68">
        <f t="shared" si="24"/>
        <v>12123.258064516129</v>
      </c>
      <c r="Z83" s="68"/>
      <c r="AA83" s="68">
        <f t="shared" si="25"/>
        <v>12123.258064516129</v>
      </c>
      <c r="AB83" s="69">
        <f t="shared" si="26"/>
        <v>763.54838709677415</v>
      </c>
      <c r="AC83" s="69">
        <f t="shared" si="27"/>
        <v>621</v>
      </c>
      <c r="AD83" s="70">
        <f t="shared" si="28"/>
        <v>36</v>
      </c>
      <c r="AE83" s="71">
        <f t="shared" si="29"/>
        <v>1420.5483870967741</v>
      </c>
      <c r="AF83" s="71">
        <f t="shared" si="30"/>
        <v>14481.58064516129</v>
      </c>
    </row>
    <row r="84" spans="1:32" x14ac:dyDescent="0.2">
      <c r="A84" s="64" t="s">
        <v>421</v>
      </c>
      <c r="B84" s="65">
        <v>79</v>
      </c>
      <c r="C84" s="65" t="s">
        <v>330</v>
      </c>
      <c r="D84" s="64" t="s">
        <v>421</v>
      </c>
      <c r="E84" s="66" t="s">
        <v>50</v>
      </c>
      <c r="F84" s="65" t="s">
        <v>239</v>
      </c>
      <c r="G84" s="67">
        <v>42826</v>
      </c>
      <c r="H84" s="67"/>
      <c r="I84" s="65">
        <v>28</v>
      </c>
      <c r="J84" s="68">
        <f t="shared" si="18"/>
        <v>4516.1290322580644</v>
      </c>
      <c r="K84" s="68">
        <f t="shared" si="19"/>
        <v>0</v>
      </c>
      <c r="L84" s="68">
        <f t="shared" si="20"/>
        <v>225.80645161290323</v>
      </c>
      <c r="M84" s="68"/>
      <c r="N84" s="68">
        <f t="shared" si="32"/>
        <v>722.58064516129025</v>
      </c>
      <c r="O84" s="68"/>
      <c r="P84" s="68">
        <f>((1950+1441+839+0)/I$3)*I84</f>
        <v>3820.645161290322</v>
      </c>
      <c r="Q84" s="68">
        <v>0</v>
      </c>
      <c r="R84" s="68">
        <v>0</v>
      </c>
      <c r="S84" s="68">
        <f t="shared" si="21"/>
        <v>9285.1612903225796</v>
      </c>
      <c r="T84" s="69">
        <f t="shared" si="22"/>
        <v>541.93548387096769</v>
      </c>
      <c r="U84" s="69">
        <f t="shared" si="31"/>
        <v>163</v>
      </c>
      <c r="V84" s="68">
        <v>0</v>
      </c>
      <c r="W84" s="68">
        <v>12</v>
      </c>
      <c r="X84" s="68">
        <f t="shared" si="23"/>
        <v>716.93548387096769</v>
      </c>
      <c r="Y84" s="68">
        <f t="shared" si="24"/>
        <v>8568.2258064516118</v>
      </c>
      <c r="Z84" s="68"/>
      <c r="AA84" s="68">
        <f t="shared" si="25"/>
        <v>8568.2258064516118</v>
      </c>
      <c r="AB84" s="69">
        <f t="shared" si="26"/>
        <v>593.87096774193549</v>
      </c>
      <c r="AC84" s="69">
        <f t="shared" si="27"/>
        <v>442</v>
      </c>
      <c r="AD84" s="70">
        <f t="shared" si="28"/>
        <v>36</v>
      </c>
      <c r="AE84" s="71">
        <f t="shared" si="29"/>
        <v>1071.8709677419356</v>
      </c>
      <c r="AF84" s="71">
        <f t="shared" si="30"/>
        <v>10357.032258064515</v>
      </c>
    </row>
    <row r="85" spans="1:32" x14ac:dyDescent="0.2">
      <c r="A85" s="64" t="s">
        <v>594</v>
      </c>
      <c r="B85" s="65">
        <v>80</v>
      </c>
      <c r="C85" s="65" t="s">
        <v>259</v>
      </c>
      <c r="D85" s="64" t="s">
        <v>594</v>
      </c>
      <c r="E85" s="66" t="s">
        <v>50</v>
      </c>
      <c r="F85" s="66" t="s">
        <v>234</v>
      </c>
      <c r="G85" s="67">
        <v>42870</v>
      </c>
      <c r="H85" s="67"/>
      <c r="I85" s="65">
        <v>34</v>
      </c>
      <c r="J85" s="68">
        <f t="shared" si="18"/>
        <v>5483.8709677419356</v>
      </c>
      <c r="K85" s="68">
        <f t="shared" si="19"/>
        <v>0</v>
      </c>
      <c r="L85" s="68">
        <f t="shared" si="20"/>
        <v>274.19354838709677</v>
      </c>
      <c r="M85" s="68"/>
      <c r="N85" s="68">
        <f t="shared" si="32"/>
        <v>877.41935483870964</v>
      </c>
      <c r="O85" s="68"/>
      <c r="P85" s="68">
        <f>((1950+1441-178+1017+1018+0)/I$3)*I85</f>
        <v>5755.8709677419356</v>
      </c>
      <c r="Q85" s="68">
        <v>0</v>
      </c>
      <c r="R85" s="68">
        <v>0</v>
      </c>
      <c r="S85" s="68">
        <f t="shared" si="21"/>
        <v>12391.354838709678</v>
      </c>
      <c r="T85" s="69">
        <f t="shared" si="22"/>
        <v>658.0645161290322</v>
      </c>
      <c r="U85" s="69">
        <f t="shared" si="31"/>
        <v>217</v>
      </c>
      <c r="V85" s="68">
        <v>0</v>
      </c>
      <c r="W85" s="68">
        <v>12</v>
      </c>
      <c r="X85" s="68">
        <f t="shared" si="23"/>
        <v>887.0645161290322</v>
      </c>
      <c r="Y85" s="68">
        <f t="shared" si="24"/>
        <v>11504.290322580646</v>
      </c>
      <c r="Z85" s="68"/>
      <c r="AA85" s="68">
        <f t="shared" si="25"/>
        <v>11504.290322580646</v>
      </c>
      <c r="AB85" s="69">
        <f t="shared" si="26"/>
        <v>721.12903225806451</v>
      </c>
      <c r="AC85" s="69">
        <f t="shared" si="27"/>
        <v>589</v>
      </c>
      <c r="AD85" s="70">
        <f t="shared" si="28"/>
        <v>36</v>
      </c>
      <c r="AE85" s="71">
        <f t="shared" si="29"/>
        <v>1346.1290322580644</v>
      </c>
      <c r="AF85" s="71">
        <f t="shared" si="30"/>
        <v>13737.483870967742</v>
      </c>
    </row>
    <row r="86" spans="1:32" x14ac:dyDescent="0.2">
      <c r="A86" s="64" t="s">
        <v>597</v>
      </c>
      <c r="B86" s="65">
        <v>81</v>
      </c>
      <c r="C86" s="65" t="s">
        <v>363</v>
      </c>
      <c r="D86" s="64" t="s">
        <v>597</v>
      </c>
      <c r="E86" s="66" t="s">
        <v>50</v>
      </c>
      <c r="F86" s="66" t="s">
        <v>234</v>
      </c>
      <c r="G86" s="67">
        <v>42856</v>
      </c>
      <c r="H86" s="67"/>
      <c r="I86" s="65">
        <v>36</v>
      </c>
      <c r="J86" s="68">
        <f t="shared" si="18"/>
        <v>5806.4516129032254</v>
      </c>
      <c r="K86" s="68">
        <f t="shared" si="19"/>
        <v>0</v>
      </c>
      <c r="L86" s="68">
        <f t="shared" si="20"/>
        <v>290.32258064516128</v>
      </c>
      <c r="M86" s="68"/>
      <c r="N86" s="68">
        <f t="shared" si="32"/>
        <v>929.0322580645161</v>
      </c>
      <c r="O86" s="68"/>
      <c r="P86" s="68">
        <f>((1950+1441-178+1017+1018+0)/I$3)*I86</f>
        <v>6094.4516129032254</v>
      </c>
      <c r="Q86" s="68">
        <v>0</v>
      </c>
      <c r="R86" s="68">
        <v>0</v>
      </c>
      <c r="S86" s="68">
        <f t="shared" si="21"/>
        <v>13120.258064516129</v>
      </c>
      <c r="T86" s="69">
        <f t="shared" si="22"/>
        <v>696.77419354838707</v>
      </c>
      <c r="U86" s="69">
        <f t="shared" si="31"/>
        <v>230</v>
      </c>
      <c r="V86" s="68">
        <v>0</v>
      </c>
      <c r="W86" s="68">
        <v>12</v>
      </c>
      <c r="X86" s="68">
        <f t="shared" si="23"/>
        <v>938.77419354838707</v>
      </c>
      <c r="Y86" s="68">
        <f t="shared" si="24"/>
        <v>12181.483870967742</v>
      </c>
      <c r="Z86" s="68"/>
      <c r="AA86" s="68">
        <f t="shared" si="25"/>
        <v>12181.483870967742</v>
      </c>
      <c r="AB86" s="69">
        <f t="shared" si="26"/>
        <v>763.54838709677415</v>
      </c>
      <c r="AC86" s="69">
        <f t="shared" si="27"/>
        <v>624</v>
      </c>
      <c r="AD86" s="70">
        <f t="shared" si="28"/>
        <v>36</v>
      </c>
      <c r="AE86" s="71">
        <f t="shared" si="29"/>
        <v>1423.5483870967741</v>
      </c>
      <c r="AF86" s="71">
        <f t="shared" si="30"/>
        <v>14543.806451612903</v>
      </c>
    </row>
    <row r="87" spans="1:32" x14ac:dyDescent="0.2">
      <c r="A87" s="64" t="s">
        <v>598</v>
      </c>
      <c r="B87" s="65">
        <v>82</v>
      </c>
      <c r="C87" s="65" t="s">
        <v>364</v>
      </c>
      <c r="D87" s="64" t="s">
        <v>598</v>
      </c>
      <c r="E87" s="66" t="s">
        <v>50</v>
      </c>
      <c r="F87" s="66" t="s">
        <v>234</v>
      </c>
      <c r="G87" s="67">
        <v>42856</v>
      </c>
      <c r="H87" s="67"/>
      <c r="I87" s="65">
        <v>32</v>
      </c>
      <c r="J87" s="68">
        <f t="shared" si="18"/>
        <v>5161.2903225806449</v>
      </c>
      <c r="K87" s="68">
        <f t="shared" si="19"/>
        <v>0</v>
      </c>
      <c r="L87" s="68">
        <f t="shared" si="20"/>
        <v>258.06451612903226</v>
      </c>
      <c r="M87" s="68"/>
      <c r="N87" s="68">
        <f t="shared" si="32"/>
        <v>825.80645161290317</v>
      </c>
      <c r="O87" s="68"/>
      <c r="P87" s="68">
        <f>((1950+1441-178+1017+1018+0)/I$3)*I87</f>
        <v>5417.2903225806449</v>
      </c>
      <c r="Q87" s="68">
        <v>0</v>
      </c>
      <c r="R87" s="68">
        <v>0</v>
      </c>
      <c r="S87" s="68">
        <f t="shared" si="21"/>
        <v>11662.451612903225</v>
      </c>
      <c r="T87" s="69">
        <f t="shared" si="22"/>
        <v>619.35483870967732</v>
      </c>
      <c r="U87" s="69">
        <f t="shared" si="31"/>
        <v>205</v>
      </c>
      <c r="V87" s="68">
        <v>0</v>
      </c>
      <c r="W87" s="68">
        <v>12</v>
      </c>
      <c r="X87" s="68">
        <f t="shared" si="23"/>
        <v>836.35483870967732</v>
      </c>
      <c r="Y87" s="68">
        <f t="shared" si="24"/>
        <v>10826.096774193547</v>
      </c>
      <c r="Z87" s="68"/>
      <c r="AA87" s="68">
        <f t="shared" si="25"/>
        <v>10826.096774193547</v>
      </c>
      <c r="AB87" s="69">
        <f t="shared" si="26"/>
        <v>678.70967741935488</v>
      </c>
      <c r="AC87" s="69">
        <f t="shared" si="27"/>
        <v>554</v>
      </c>
      <c r="AD87" s="70">
        <f t="shared" si="28"/>
        <v>36</v>
      </c>
      <c r="AE87" s="71">
        <f t="shared" si="29"/>
        <v>1268.7096774193549</v>
      </c>
      <c r="AF87" s="71">
        <f t="shared" si="30"/>
        <v>12931.16129032258</v>
      </c>
    </row>
    <row r="88" spans="1:32" x14ac:dyDescent="0.2">
      <c r="A88" s="64" t="s">
        <v>601</v>
      </c>
      <c r="B88" s="65">
        <v>83</v>
      </c>
      <c r="C88" s="65" t="s">
        <v>368</v>
      </c>
      <c r="D88" s="64" t="s">
        <v>601</v>
      </c>
      <c r="E88" s="66" t="s">
        <v>50</v>
      </c>
      <c r="F88" s="66" t="s">
        <v>234</v>
      </c>
      <c r="G88" s="67">
        <v>42856</v>
      </c>
      <c r="H88" s="67"/>
      <c r="I88" s="65">
        <v>32</v>
      </c>
      <c r="J88" s="68">
        <f t="shared" si="18"/>
        <v>5161.2903225806449</v>
      </c>
      <c r="K88" s="68">
        <f t="shared" si="19"/>
        <v>0</v>
      </c>
      <c r="L88" s="68">
        <f t="shared" si="20"/>
        <v>258.06451612903226</v>
      </c>
      <c r="M88" s="68"/>
      <c r="N88" s="68">
        <f t="shared" si="32"/>
        <v>825.80645161290317</v>
      </c>
      <c r="O88" s="68"/>
      <c r="P88" s="68">
        <f>((1950+1441-178+1017+1018+0)/I$3)*I88</f>
        <v>5417.2903225806449</v>
      </c>
      <c r="Q88" s="68">
        <v>0</v>
      </c>
      <c r="R88" s="68">
        <v>0</v>
      </c>
      <c r="S88" s="68">
        <f t="shared" si="21"/>
        <v>11662.451612903225</v>
      </c>
      <c r="T88" s="69">
        <f t="shared" si="22"/>
        <v>619.35483870967732</v>
      </c>
      <c r="U88" s="69">
        <f t="shared" si="31"/>
        <v>205</v>
      </c>
      <c r="V88" s="68">
        <v>0</v>
      </c>
      <c r="W88" s="68">
        <v>12</v>
      </c>
      <c r="X88" s="68">
        <f t="shared" si="23"/>
        <v>836.35483870967732</v>
      </c>
      <c r="Y88" s="68">
        <f t="shared" si="24"/>
        <v>10826.096774193547</v>
      </c>
      <c r="Z88" s="68"/>
      <c r="AA88" s="68">
        <f t="shared" si="25"/>
        <v>10826.096774193547</v>
      </c>
      <c r="AB88" s="69">
        <f t="shared" si="26"/>
        <v>678.70967741935488</v>
      </c>
      <c r="AC88" s="69">
        <f t="shared" si="27"/>
        <v>554</v>
      </c>
      <c r="AD88" s="70">
        <f t="shared" si="28"/>
        <v>36</v>
      </c>
      <c r="AE88" s="71">
        <f t="shared" si="29"/>
        <v>1268.7096774193549</v>
      </c>
      <c r="AF88" s="71">
        <f t="shared" si="30"/>
        <v>12931.16129032258</v>
      </c>
    </row>
    <row r="89" spans="1:32" x14ac:dyDescent="0.2">
      <c r="A89" s="64" t="s">
        <v>603</v>
      </c>
      <c r="B89" s="65">
        <v>84</v>
      </c>
      <c r="C89" s="65" t="s">
        <v>370</v>
      </c>
      <c r="D89" s="64" t="s">
        <v>603</v>
      </c>
      <c r="E89" s="66" t="s">
        <v>50</v>
      </c>
      <c r="F89" s="66" t="s">
        <v>234</v>
      </c>
      <c r="G89" s="67">
        <v>42856</v>
      </c>
      <c r="H89" s="67"/>
      <c r="I89" s="65">
        <v>28</v>
      </c>
      <c r="J89" s="68">
        <f t="shared" si="18"/>
        <v>4516.1290322580644</v>
      </c>
      <c r="K89" s="68">
        <f t="shared" si="19"/>
        <v>0</v>
      </c>
      <c r="L89" s="68">
        <f t="shared" si="20"/>
        <v>225.80645161290323</v>
      </c>
      <c r="M89" s="68"/>
      <c r="N89" s="68">
        <f t="shared" si="32"/>
        <v>722.58064516129025</v>
      </c>
      <c r="O89" s="68"/>
      <c r="P89" s="68">
        <f>((1950+1441-178+1017+1018+0)/I$3)*I89</f>
        <v>4740.1290322580644</v>
      </c>
      <c r="Q89" s="68">
        <v>0</v>
      </c>
      <c r="R89" s="68">
        <v>0</v>
      </c>
      <c r="S89" s="68">
        <f t="shared" si="21"/>
        <v>10204.645161290322</v>
      </c>
      <c r="T89" s="69">
        <f t="shared" si="22"/>
        <v>541.93548387096769</v>
      </c>
      <c r="U89" s="69">
        <f t="shared" si="31"/>
        <v>179</v>
      </c>
      <c r="V89" s="68">
        <v>0</v>
      </c>
      <c r="W89" s="68">
        <v>12</v>
      </c>
      <c r="X89" s="68">
        <f t="shared" si="23"/>
        <v>732.93548387096769</v>
      </c>
      <c r="Y89" s="68">
        <f t="shared" si="24"/>
        <v>9471.7096774193542</v>
      </c>
      <c r="Z89" s="68"/>
      <c r="AA89" s="68">
        <f t="shared" si="25"/>
        <v>9471.7096774193542</v>
      </c>
      <c r="AB89" s="69">
        <f t="shared" si="26"/>
        <v>593.87096774193549</v>
      </c>
      <c r="AC89" s="69">
        <f t="shared" si="27"/>
        <v>485</v>
      </c>
      <c r="AD89" s="70">
        <f t="shared" si="28"/>
        <v>36</v>
      </c>
      <c r="AE89" s="71">
        <f t="shared" si="29"/>
        <v>1114.8709677419356</v>
      </c>
      <c r="AF89" s="71">
        <f t="shared" si="30"/>
        <v>11319.516129032258</v>
      </c>
    </row>
    <row r="90" spans="1:32" x14ac:dyDescent="0.2">
      <c r="A90" s="64" t="s">
        <v>613</v>
      </c>
      <c r="B90" s="65">
        <v>85</v>
      </c>
      <c r="C90" s="65" t="s">
        <v>379</v>
      </c>
      <c r="D90" s="64" t="s">
        <v>613</v>
      </c>
      <c r="E90" s="66" t="s">
        <v>50</v>
      </c>
      <c r="F90" s="66" t="s">
        <v>242</v>
      </c>
      <c r="G90" s="67">
        <v>42856</v>
      </c>
      <c r="H90" s="67"/>
      <c r="I90" s="65">
        <v>37</v>
      </c>
      <c r="J90" s="68">
        <f t="shared" si="18"/>
        <v>5967.7419354838703</v>
      </c>
      <c r="K90" s="68">
        <f t="shared" si="19"/>
        <v>0</v>
      </c>
      <c r="L90" s="68">
        <f t="shared" si="20"/>
        <v>298.38709677419354</v>
      </c>
      <c r="M90" s="68"/>
      <c r="N90" s="68">
        <f t="shared" si="32"/>
        <v>954.83870967741927</v>
      </c>
      <c r="O90" s="68"/>
      <c r="P90" s="68">
        <f>((1950+1441-178+1017+0)/I$3)*I90</f>
        <v>5048.7096774193542</v>
      </c>
      <c r="Q90" s="68">
        <v>0</v>
      </c>
      <c r="R90" s="68">
        <v>0</v>
      </c>
      <c r="S90" s="68">
        <f t="shared" si="21"/>
        <v>12269.677419354837</v>
      </c>
      <c r="T90" s="69">
        <f t="shared" si="22"/>
        <v>716.1290322580644</v>
      </c>
      <c r="U90" s="69">
        <f t="shared" si="31"/>
        <v>215</v>
      </c>
      <c r="V90" s="68">
        <v>0</v>
      </c>
      <c r="W90" s="68">
        <v>12</v>
      </c>
      <c r="X90" s="68">
        <f t="shared" si="23"/>
        <v>943.1290322580644</v>
      </c>
      <c r="Y90" s="68">
        <f t="shared" si="24"/>
        <v>11326.548387096773</v>
      </c>
      <c r="Z90" s="68"/>
      <c r="AA90" s="68">
        <f t="shared" si="25"/>
        <v>11326.548387096773</v>
      </c>
      <c r="AB90" s="69">
        <f t="shared" si="26"/>
        <v>784.75806451612902</v>
      </c>
      <c r="AC90" s="69">
        <f t="shared" si="27"/>
        <v>583</v>
      </c>
      <c r="AD90" s="70">
        <f t="shared" si="28"/>
        <v>36</v>
      </c>
      <c r="AE90" s="71">
        <f t="shared" si="29"/>
        <v>1403.758064516129</v>
      </c>
      <c r="AF90" s="71">
        <f t="shared" si="30"/>
        <v>13673.435483870966</v>
      </c>
    </row>
    <row r="91" spans="1:32" x14ac:dyDescent="0.2">
      <c r="A91" s="64" t="s">
        <v>615</v>
      </c>
      <c r="B91" s="65">
        <v>86</v>
      </c>
      <c r="C91" s="65" t="s">
        <v>381</v>
      </c>
      <c r="D91" s="64" t="s">
        <v>615</v>
      </c>
      <c r="E91" s="66" t="s">
        <v>50</v>
      </c>
      <c r="F91" s="66" t="s">
        <v>709</v>
      </c>
      <c r="G91" s="67">
        <v>42856</v>
      </c>
      <c r="H91" s="67"/>
      <c r="I91" s="65">
        <v>37</v>
      </c>
      <c r="J91" s="68">
        <f t="shared" si="18"/>
        <v>5967.7419354838703</v>
      </c>
      <c r="K91" s="68">
        <f t="shared" si="19"/>
        <v>0</v>
      </c>
      <c r="L91" s="68">
        <f t="shared" si="20"/>
        <v>298.38709677419354</v>
      </c>
      <c r="M91" s="68"/>
      <c r="N91" s="68">
        <f t="shared" si="32"/>
        <v>954.83870967741927</v>
      </c>
      <c r="O91" s="68"/>
      <c r="P91" s="68">
        <f>((1950+1441-178+1017+1018)/I$3)*I91</f>
        <v>6263.7419354838703</v>
      </c>
      <c r="Q91" s="68">
        <v>0</v>
      </c>
      <c r="R91" s="68">
        <v>0</v>
      </c>
      <c r="S91" s="68">
        <f t="shared" si="21"/>
        <v>13484.709677419352</v>
      </c>
      <c r="T91" s="69">
        <f t="shared" si="22"/>
        <v>716.1290322580644</v>
      </c>
      <c r="U91" s="69">
        <f t="shared" si="31"/>
        <v>236</v>
      </c>
      <c r="V91" s="68">
        <v>0</v>
      </c>
      <c r="W91" s="68">
        <v>12</v>
      </c>
      <c r="X91" s="68">
        <f t="shared" si="23"/>
        <v>964.1290322580644</v>
      </c>
      <c r="Y91" s="68">
        <f t="shared" si="24"/>
        <v>12520.580645161288</v>
      </c>
      <c r="Z91" s="68"/>
      <c r="AA91" s="68">
        <f t="shared" si="25"/>
        <v>12520.580645161288</v>
      </c>
      <c r="AB91" s="69">
        <f t="shared" si="26"/>
        <v>784.75806451612902</v>
      </c>
      <c r="AC91" s="69">
        <f t="shared" si="27"/>
        <v>641</v>
      </c>
      <c r="AD91" s="70">
        <f t="shared" si="28"/>
        <v>36</v>
      </c>
      <c r="AE91" s="71">
        <f t="shared" si="29"/>
        <v>1461.758064516129</v>
      </c>
      <c r="AF91" s="71">
        <f t="shared" si="30"/>
        <v>14946.467741935481</v>
      </c>
    </row>
    <row r="92" spans="1:32" x14ac:dyDescent="0.2">
      <c r="A92" s="64" t="s">
        <v>616</v>
      </c>
      <c r="B92" s="65">
        <v>87</v>
      </c>
      <c r="C92" s="65" t="s">
        <v>382</v>
      </c>
      <c r="D92" s="64" t="s">
        <v>616</v>
      </c>
      <c r="E92" s="66" t="s">
        <v>50</v>
      </c>
      <c r="F92" s="66" t="s">
        <v>484</v>
      </c>
      <c r="G92" s="67">
        <v>42882</v>
      </c>
      <c r="H92" s="67"/>
      <c r="I92" s="65">
        <v>36</v>
      </c>
      <c r="J92" s="68">
        <f t="shared" si="18"/>
        <v>5806.4516129032254</v>
      </c>
      <c r="K92" s="68">
        <f t="shared" si="19"/>
        <v>0</v>
      </c>
      <c r="L92" s="68">
        <f t="shared" si="20"/>
        <v>290.32258064516128</v>
      </c>
      <c r="M92" s="68"/>
      <c r="N92" s="68">
        <f t="shared" si="32"/>
        <v>929.0322580645161</v>
      </c>
      <c r="O92" s="68"/>
      <c r="P92" s="68">
        <f>((1950+1441-178+1017+0)/I$3)*I92</f>
        <v>4912.2580645161288</v>
      </c>
      <c r="Q92" s="68">
        <v>0</v>
      </c>
      <c r="R92" s="68">
        <v>0</v>
      </c>
      <c r="S92" s="68">
        <f t="shared" si="21"/>
        <v>11938.06451612903</v>
      </c>
      <c r="T92" s="69">
        <f t="shared" si="22"/>
        <v>696.77419354838707</v>
      </c>
      <c r="U92" s="69">
        <f t="shared" si="31"/>
        <v>209</v>
      </c>
      <c r="V92" s="68">
        <v>0</v>
      </c>
      <c r="W92" s="68">
        <v>12</v>
      </c>
      <c r="X92" s="68">
        <f t="shared" si="23"/>
        <v>917.77419354838707</v>
      </c>
      <c r="Y92" s="68">
        <f t="shared" si="24"/>
        <v>11020.290322580644</v>
      </c>
      <c r="Z92" s="68"/>
      <c r="AA92" s="68">
        <f t="shared" si="25"/>
        <v>11020.290322580644</v>
      </c>
      <c r="AB92" s="69">
        <f t="shared" si="26"/>
        <v>763.54838709677415</v>
      </c>
      <c r="AC92" s="69">
        <f t="shared" si="27"/>
        <v>568</v>
      </c>
      <c r="AD92" s="70">
        <f t="shared" si="28"/>
        <v>36</v>
      </c>
      <c r="AE92" s="71">
        <f t="shared" si="29"/>
        <v>1367.5483870967741</v>
      </c>
      <c r="AF92" s="71">
        <f t="shared" si="30"/>
        <v>13305.612903225805</v>
      </c>
    </row>
    <row r="93" spans="1:32" x14ac:dyDescent="0.2">
      <c r="A93" s="64" t="s">
        <v>623</v>
      </c>
      <c r="B93" s="65">
        <v>88</v>
      </c>
      <c r="C93" s="65" t="s">
        <v>387</v>
      </c>
      <c r="D93" s="64" t="s">
        <v>623</v>
      </c>
      <c r="E93" s="66" t="s">
        <v>50</v>
      </c>
      <c r="F93" s="66" t="s">
        <v>707</v>
      </c>
      <c r="G93" s="67">
        <v>42856</v>
      </c>
      <c r="H93" s="67"/>
      <c r="I93" s="65">
        <v>17</v>
      </c>
      <c r="J93" s="68">
        <f t="shared" si="18"/>
        <v>2741.9354838709678</v>
      </c>
      <c r="K93" s="68">
        <f t="shared" si="19"/>
        <v>0</v>
      </c>
      <c r="L93" s="68">
        <f t="shared" si="20"/>
        <v>137.09677419354838</v>
      </c>
      <c r="M93" s="68"/>
      <c r="N93" s="68">
        <f t="shared" si="32"/>
        <v>438.70967741935482</v>
      </c>
      <c r="O93" s="68"/>
      <c r="P93" s="68">
        <f>((1950+1441-178+1017+0)/I$3)*I93</f>
        <v>2319.6774193548385</v>
      </c>
      <c r="Q93" s="68">
        <v>0</v>
      </c>
      <c r="R93" s="68"/>
      <c r="S93" s="68">
        <f t="shared" si="21"/>
        <v>5637.4193548387093</v>
      </c>
      <c r="T93" s="69">
        <f t="shared" si="22"/>
        <v>329.0322580645161</v>
      </c>
      <c r="U93" s="69">
        <f t="shared" si="31"/>
        <v>99</v>
      </c>
      <c r="V93" s="68">
        <v>0</v>
      </c>
      <c r="W93" s="68">
        <v>12</v>
      </c>
      <c r="X93" s="68">
        <f t="shared" si="23"/>
        <v>440.0322580645161</v>
      </c>
      <c r="Y93" s="68">
        <f t="shared" si="24"/>
        <v>5197.3870967741932</v>
      </c>
      <c r="Z93" s="68"/>
      <c r="AA93" s="68">
        <f t="shared" si="25"/>
        <v>5197.3870967741932</v>
      </c>
      <c r="AB93" s="69">
        <f t="shared" si="26"/>
        <v>360.56451612903226</v>
      </c>
      <c r="AC93" s="69">
        <f t="shared" si="27"/>
        <v>268</v>
      </c>
      <c r="AD93" s="70">
        <f t="shared" si="28"/>
        <v>36</v>
      </c>
      <c r="AE93" s="71">
        <f t="shared" si="29"/>
        <v>664.5645161290322</v>
      </c>
      <c r="AF93" s="71">
        <f t="shared" si="30"/>
        <v>6301.9838709677415</v>
      </c>
    </row>
    <row r="94" spans="1:32" x14ac:dyDescent="0.2">
      <c r="A94" s="64" t="s">
        <v>627</v>
      </c>
      <c r="B94" s="65">
        <v>89</v>
      </c>
      <c r="C94" s="65" t="s">
        <v>391</v>
      </c>
      <c r="D94" s="64" t="s">
        <v>627</v>
      </c>
      <c r="E94" s="66" t="s">
        <v>50</v>
      </c>
      <c r="F94" s="66" t="s">
        <v>232</v>
      </c>
      <c r="G94" s="67">
        <v>42875</v>
      </c>
      <c r="H94" s="67"/>
      <c r="I94" s="65">
        <v>36</v>
      </c>
      <c r="J94" s="68">
        <f t="shared" si="18"/>
        <v>5806.4516129032254</v>
      </c>
      <c r="K94" s="68">
        <f t="shared" si="19"/>
        <v>0</v>
      </c>
      <c r="L94" s="68">
        <f t="shared" si="20"/>
        <v>290.32258064516128</v>
      </c>
      <c r="M94" s="68"/>
      <c r="N94" s="68">
        <f t="shared" si="32"/>
        <v>929.0322580645161</v>
      </c>
      <c r="O94" s="68"/>
      <c r="P94" s="68">
        <f>((1950+1441-178+1017+0)/I$3)*I94</f>
        <v>4912.2580645161288</v>
      </c>
      <c r="Q94" s="68">
        <v>0</v>
      </c>
      <c r="R94" s="68">
        <v>0</v>
      </c>
      <c r="S94" s="68">
        <f t="shared" si="21"/>
        <v>11938.06451612903</v>
      </c>
      <c r="T94" s="69">
        <f t="shared" si="22"/>
        <v>696.77419354838707</v>
      </c>
      <c r="U94" s="69">
        <f t="shared" si="31"/>
        <v>209</v>
      </c>
      <c r="V94" s="68">
        <v>0</v>
      </c>
      <c r="W94" s="68">
        <v>12</v>
      </c>
      <c r="X94" s="68">
        <f t="shared" si="23"/>
        <v>917.77419354838707</v>
      </c>
      <c r="Y94" s="68">
        <f t="shared" si="24"/>
        <v>11020.290322580644</v>
      </c>
      <c r="Z94" s="68"/>
      <c r="AA94" s="68">
        <f t="shared" si="25"/>
        <v>11020.290322580644</v>
      </c>
      <c r="AB94" s="69">
        <f t="shared" si="26"/>
        <v>763.54838709677415</v>
      </c>
      <c r="AC94" s="69">
        <f t="shared" si="27"/>
        <v>568</v>
      </c>
      <c r="AD94" s="70">
        <f t="shared" si="28"/>
        <v>36</v>
      </c>
      <c r="AE94" s="71">
        <f t="shared" si="29"/>
        <v>1367.5483870967741</v>
      </c>
      <c r="AF94" s="71">
        <f t="shared" si="30"/>
        <v>13305.612903225805</v>
      </c>
    </row>
    <row r="95" spans="1:32" x14ac:dyDescent="0.2">
      <c r="A95" s="64" t="s">
        <v>628</v>
      </c>
      <c r="B95" s="65">
        <v>90</v>
      </c>
      <c r="C95" s="65" t="s">
        <v>393</v>
      </c>
      <c r="D95" s="64" t="s">
        <v>628</v>
      </c>
      <c r="E95" s="66" t="s">
        <v>50</v>
      </c>
      <c r="F95" s="66" t="s">
        <v>232</v>
      </c>
      <c r="G95" s="67">
        <v>42856</v>
      </c>
      <c r="H95" s="67"/>
      <c r="I95" s="65">
        <v>35</v>
      </c>
      <c r="J95" s="68">
        <f t="shared" si="18"/>
        <v>5645.1612903225805</v>
      </c>
      <c r="K95" s="68">
        <f t="shared" si="19"/>
        <v>0</v>
      </c>
      <c r="L95" s="68">
        <f t="shared" si="20"/>
        <v>282.25806451612902</v>
      </c>
      <c r="M95" s="68"/>
      <c r="N95" s="68">
        <f t="shared" si="32"/>
        <v>903.22580645161281</v>
      </c>
      <c r="O95" s="68"/>
      <c r="P95" s="68">
        <f>((1950+1441-178+1017+0)/I$3)*I95</f>
        <v>4775.8064516129025</v>
      </c>
      <c r="Q95" s="68">
        <v>0</v>
      </c>
      <c r="R95" s="68">
        <v>0</v>
      </c>
      <c r="S95" s="68">
        <f t="shared" si="21"/>
        <v>11606.451612903224</v>
      </c>
      <c r="T95" s="69">
        <f t="shared" si="22"/>
        <v>677.41935483870964</v>
      </c>
      <c r="U95" s="69">
        <f t="shared" si="31"/>
        <v>204</v>
      </c>
      <c r="V95" s="68">
        <v>0</v>
      </c>
      <c r="W95" s="68">
        <v>12</v>
      </c>
      <c r="X95" s="68">
        <f t="shared" si="23"/>
        <v>893.41935483870964</v>
      </c>
      <c r="Y95" s="68">
        <f t="shared" si="24"/>
        <v>10713.032258064513</v>
      </c>
      <c r="Z95" s="68"/>
      <c r="AA95" s="68">
        <f t="shared" si="25"/>
        <v>10713.032258064513</v>
      </c>
      <c r="AB95" s="69">
        <f t="shared" si="26"/>
        <v>742.33870967741939</v>
      </c>
      <c r="AC95" s="69">
        <f t="shared" si="27"/>
        <v>552</v>
      </c>
      <c r="AD95" s="70">
        <f t="shared" si="28"/>
        <v>36</v>
      </c>
      <c r="AE95" s="71">
        <f t="shared" si="29"/>
        <v>1330.3387096774195</v>
      </c>
      <c r="AF95" s="71">
        <f t="shared" si="30"/>
        <v>12936.790322580644</v>
      </c>
    </row>
    <row r="96" spans="1:32" x14ac:dyDescent="0.2">
      <c r="A96" s="64" t="s">
        <v>629</v>
      </c>
      <c r="B96" s="65">
        <v>91</v>
      </c>
      <c r="C96" s="65" t="s">
        <v>394</v>
      </c>
      <c r="D96" s="64" t="s">
        <v>629</v>
      </c>
      <c r="E96" s="66" t="s">
        <v>50</v>
      </c>
      <c r="F96" s="66" t="s">
        <v>484</v>
      </c>
      <c r="G96" s="67">
        <v>42875</v>
      </c>
      <c r="H96" s="67"/>
      <c r="I96" s="65">
        <v>35</v>
      </c>
      <c r="J96" s="68">
        <f t="shared" si="18"/>
        <v>5645.1612903225805</v>
      </c>
      <c r="K96" s="68">
        <f t="shared" si="19"/>
        <v>0</v>
      </c>
      <c r="L96" s="68">
        <f t="shared" si="20"/>
        <v>282.25806451612902</v>
      </c>
      <c r="M96" s="68"/>
      <c r="N96" s="68">
        <f t="shared" si="32"/>
        <v>903.22580645161281</v>
      </c>
      <c r="O96" s="68"/>
      <c r="P96" s="68">
        <f>((1950+1441-178+1017+0)/I$3)*I96</f>
        <v>4775.8064516129025</v>
      </c>
      <c r="Q96" s="68">
        <v>0</v>
      </c>
      <c r="R96" s="68">
        <v>0</v>
      </c>
      <c r="S96" s="68">
        <f t="shared" si="21"/>
        <v>11606.451612903224</v>
      </c>
      <c r="T96" s="69">
        <f t="shared" si="22"/>
        <v>677.41935483870964</v>
      </c>
      <c r="U96" s="69">
        <f t="shared" si="31"/>
        <v>204</v>
      </c>
      <c r="V96" s="68">
        <v>0</v>
      </c>
      <c r="W96" s="68">
        <v>12</v>
      </c>
      <c r="X96" s="68">
        <f t="shared" si="23"/>
        <v>893.41935483870964</v>
      </c>
      <c r="Y96" s="68">
        <f t="shared" si="24"/>
        <v>10713.032258064513</v>
      </c>
      <c r="Z96" s="68"/>
      <c r="AA96" s="68">
        <f t="shared" si="25"/>
        <v>10713.032258064513</v>
      </c>
      <c r="AB96" s="69">
        <f t="shared" si="26"/>
        <v>742.33870967741939</v>
      </c>
      <c r="AC96" s="69">
        <f t="shared" si="27"/>
        <v>552</v>
      </c>
      <c r="AD96" s="70">
        <f t="shared" si="28"/>
        <v>36</v>
      </c>
      <c r="AE96" s="71">
        <f t="shared" si="29"/>
        <v>1330.3387096774195</v>
      </c>
      <c r="AF96" s="71">
        <f t="shared" si="30"/>
        <v>12936.790322580644</v>
      </c>
    </row>
    <row r="97" spans="1:32" x14ac:dyDescent="0.2">
      <c r="A97" s="64" t="s">
        <v>630</v>
      </c>
      <c r="B97" s="65">
        <v>92</v>
      </c>
      <c r="C97" s="65" t="s">
        <v>395</v>
      </c>
      <c r="D97" s="64" t="s">
        <v>630</v>
      </c>
      <c r="E97" s="66" t="s">
        <v>50</v>
      </c>
      <c r="F97" s="66" t="s">
        <v>234</v>
      </c>
      <c r="G97" s="67">
        <v>42856</v>
      </c>
      <c r="H97" s="67"/>
      <c r="I97" s="65">
        <v>33</v>
      </c>
      <c r="J97" s="68">
        <f t="shared" si="18"/>
        <v>5322.5806451612898</v>
      </c>
      <c r="K97" s="68">
        <f t="shared" si="19"/>
        <v>0</v>
      </c>
      <c r="L97" s="68">
        <f t="shared" si="20"/>
        <v>266.12903225806451</v>
      </c>
      <c r="M97" s="68"/>
      <c r="N97" s="68">
        <f t="shared" si="32"/>
        <v>851.61290322580635</v>
      </c>
      <c r="O97" s="68"/>
      <c r="P97" s="68">
        <f>((1950+1441-178+1017+1018+0)/I$3)*I97</f>
        <v>5586.5806451612898</v>
      </c>
      <c r="Q97" s="68">
        <v>0</v>
      </c>
      <c r="R97" s="68">
        <v>0</v>
      </c>
      <c r="S97" s="68">
        <f t="shared" si="21"/>
        <v>12026.903225806451</v>
      </c>
      <c r="T97" s="69">
        <f t="shared" si="22"/>
        <v>638.70967741935476</v>
      </c>
      <c r="U97" s="69">
        <f t="shared" si="31"/>
        <v>211</v>
      </c>
      <c r="V97" s="68">
        <v>0</v>
      </c>
      <c r="W97" s="68">
        <v>12</v>
      </c>
      <c r="X97" s="68">
        <f t="shared" si="23"/>
        <v>861.70967741935476</v>
      </c>
      <c r="Y97" s="68">
        <f t="shared" si="24"/>
        <v>11165.193548387097</v>
      </c>
      <c r="Z97" s="68"/>
      <c r="AA97" s="68">
        <f t="shared" si="25"/>
        <v>11165.193548387097</v>
      </c>
      <c r="AB97" s="69">
        <f t="shared" si="26"/>
        <v>699.91935483870964</v>
      </c>
      <c r="AC97" s="69">
        <f t="shared" si="27"/>
        <v>572</v>
      </c>
      <c r="AD97" s="70">
        <f t="shared" si="28"/>
        <v>36</v>
      </c>
      <c r="AE97" s="71">
        <f t="shared" si="29"/>
        <v>1307.9193548387098</v>
      </c>
      <c r="AF97" s="71">
        <f t="shared" si="30"/>
        <v>13334.822580645161</v>
      </c>
    </row>
    <row r="98" spans="1:32" x14ac:dyDescent="0.2">
      <c r="A98" s="64" t="s">
        <v>631</v>
      </c>
      <c r="B98" s="65">
        <v>93</v>
      </c>
      <c r="C98" s="65" t="s">
        <v>705</v>
      </c>
      <c r="D98" s="64" t="s">
        <v>631</v>
      </c>
      <c r="E98" s="66" t="s">
        <v>50</v>
      </c>
      <c r="F98" s="66" t="s">
        <v>238</v>
      </c>
      <c r="G98" s="67">
        <v>42856</v>
      </c>
      <c r="H98" s="67"/>
      <c r="I98" s="65">
        <v>7</v>
      </c>
      <c r="J98" s="68">
        <f t="shared" si="18"/>
        <v>1129.0322580645161</v>
      </c>
      <c r="K98" s="68">
        <f t="shared" si="19"/>
        <v>0</v>
      </c>
      <c r="L98" s="68">
        <f t="shared" si="20"/>
        <v>56.451612903225808</v>
      </c>
      <c r="M98" s="68"/>
      <c r="N98" s="68">
        <f t="shared" si="32"/>
        <v>180.64516129032256</v>
      </c>
      <c r="O98" s="68"/>
      <c r="P98" s="68">
        <f>((1950+1441-178+1017+1018)/I$3)*I98</f>
        <v>1185.0322580645161</v>
      </c>
      <c r="Q98" s="68">
        <v>0</v>
      </c>
      <c r="R98" s="68">
        <v>0</v>
      </c>
      <c r="S98" s="68">
        <f t="shared" si="21"/>
        <v>2551.1612903225805</v>
      </c>
      <c r="T98" s="69">
        <f t="shared" si="22"/>
        <v>135.48387096774192</v>
      </c>
      <c r="U98" s="69">
        <f t="shared" si="31"/>
        <v>45</v>
      </c>
      <c r="V98" s="68">
        <v>0</v>
      </c>
      <c r="W98" s="68">
        <v>12</v>
      </c>
      <c r="X98" s="68">
        <f t="shared" si="23"/>
        <v>192.48387096774192</v>
      </c>
      <c r="Y98" s="68">
        <f t="shared" si="24"/>
        <v>2358.6774193548385</v>
      </c>
      <c r="Z98" s="68"/>
      <c r="AA98" s="68">
        <f t="shared" si="25"/>
        <v>2358.6774193548385</v>
      </c>
      <c r="AB98" s="69">
        <f t="shared" si="26"/>
        <v>148.46774193548387</v>
      </c>
      <c r="AC98" s="69">
        <f t="shared" si="27"/>
        <v>122</v>
      </c>
      <c r="AD98" s="70">
        <f t="shared" si="28"/>
        <v>36</v>
      </c>
      <c r="AE98" s="71">
        <f t="shared" si="29"/>
        <v>306.4677419354839</v>
      </c>
      <c r="AF98" s="71">
        <f t="shared" si="30"/>
        <v>2857.6290322580644</v>
      </c>
    </row>
    <row r="99" spans="1:32" x14ac:dyDescent="0.2">
      <c r="A99" s="64" t="s">
        <v>634</v>
      </c>
      <c r="B99" s="65">
        <v>94</v>
      </c>
      <c r="C99" s="65" t="s">
        <v>399</v>
      </c>
      <c r="D99" s="64" t="s">
        <v>634</v>
      </c>
      <c r="E99" s="66" t="s">
        <v>50</v>
      </c>
      <c r="F99" s="66" t="s">
        <v>707</v>
      </c>
      <c r="G99" s="67">
        <v>42856</v>
      </c>
      <c r="H99" s="67"/>
      <c r="I99" s="65">
        <v>32.5</v>
      </c>
      <c r="J99" s="68">
        <f t="shared" si="18"/>
        <v>5241.9354838709678</v>
      </c>
      <c r="K99" s="68">
        <f t="shared" si="19"/>
        <v>0</v>
      </c>
      <c r="L99" s="68">
        <f t="shared" si="20"/>
        <v>262.09677419354841</v>
      </c>
      <c r="M99" s="68"/>
      <c r="N99" s="68">
        <f t="shared" si="32"/>
        <v>838.70967741935476</v>
      </c>
      <c r="O99" s="68"/>
      <c r="P99" s="68">
        <f>((1950+1441-178+1017+0)/I$3)*I99</f>
        <v>4434.6774193548381</v>
      </c>
      <c r="Q99" s="68">
        <v>0</v>
      </c>
      <c r="R99" s="68"/>
      <c r="S99" s="68">
        <f t="shared" si="21"/>
        <v>10777.419354838708</v>
      </c>
      <c r="T99" s="69">
        <f t="shared" si="22"/>
        <v>629.0322580645161</v>
      </c>
      <c r="U99" s="69">
        <f t="shared" si="31"/>
        <v>189</v>
      </c>
      <c r="V99" s="68">
        <v>0</v>
      </c>
      <c r="W99" s="68">
        <v>12</v>
      </c>
      <c r="X99" s="68">
        <f t="shared" si="23"/>
        <v>830.0322580645161</v>
      </c>
      <c r="Y99" s="68">
        <f t="shared" si="24"/>
        <v>9947.3870967741932</v>
      </c>
      <c r="Z99" s="68"/>
      <c r="AA99" s="68">
        <f t="shared" si="25"/>
        <v>9947.3870967741932</v>
      </c>
      <c r="AB99" s="69">
        <f t="shared" si="26"/>
        <v>689.31451612903231</v>
      </c>
      <c r="AC99" s="69">
        <f t="shared" si="27"/>
        <v>512</v>
      </c>
      <c r="AD99" s="70">
        <f t="shared" si="28"/>
        <v>36</v>
      </c>
      <c r="AE99" s="71">
        <f t="shared" si="29"/>
        <v>1237.3145161290322</v>
      </c>
      <c r="AF99" s="71">
        <f t="shared" si="30"/>
        <v>12014.733870967741</v>
      </c>
    </row>
    <row r="100" spans="1:32" x14ac:dyDescent="0.2">
      <c r="A100" s="64" t="s">
        <v>637</v>
      </c>
      <c r="B100" s="65">
        <v>95</v>
      </c>
      <c r="C100" s="65" t="s">
        <v>402</v>
      </c>
      <c r="D100" s="64" t="s">
        <v>637</v>
      </c>
      <c r="E100" s="66" t="s">
        <v>50</v>
      </c>
      <c r="F100" s="66" t="s">
        <v>234</v>
      </c>
      <c r="G100" s="67">
        <v>42856</v>
      </c>
      <c r="H100" s="67"/>
      <c r="I100" s="65">
        <v>34</v>
      </c>
      <c r="J100" s="68">
        <f t="shared" si="18"/>
        <v>5483.8709677419356</v>
      </c>
      <c r="K100" s="68">
        <f t="shared" si="19"/>
        <v>0</v>
      </c>
      <c r="L100" s="68">
        <f t="shared" si="20"/>
        <v>274.19354838709677</v>
      </c>
      <c r="M100" s="68"/>
      <c r="N100" s="68">
        <f t="shared" si="32"/>
        <v>877.41935483870964</v>
      </c>
      <c r="O100" s="68"/>
      <c r="P100" s="68">
        <f>((1950+1441-178+1017+1018+0)/I$3)*I100</f>
        <v>5755.8709677419356</v>
      </c>
      <c r="Q100" s="68">
        <v>0</v>
      </c>
      <c r="R100" s="68">
        <v>0</v>
      </c>
      <c r="S100" s="68">
        <f t="shared" si="21"/>
        <v>12391.354838709678</v>
      </c>
      <c r="T100" s="69">
        <f t="shared" si="22"/>
        <v>658.0645161290322</v>
      </c>
      <c r="U100" s="69">
        <f t="shared" si="31"/>
        <v>217</v>
      </c>
      <c r="V100" s="68">
        <v>0</v>
      </c>
      <c r="W100" s="68">
        <v>12</v>
      </c>
      <c r="X100" s="68">
        <f t="shared" si="23"/>
        <v>887.0645161290322</v>
      </c>
      <c r="Y100" s="68">
        <f t="shared" si="24"/>
        <v>11504.290322580646</v>
      </c>
      <c r="Z100" s="68"/>
      <c r="AA100" s="68">
        <f t="shared" si="25"/>
        <v>11504.290322580646</v>
      </c>
      <c r="AB100" s="69">
        <f t="shared" si="26"/>
        <v>721.12903225806451</v>
      </c>
      <c r="AC100" s="69">
        <f t="shared" si="27"/>
        <v>589</v>
      </c>
      <c r="AD100" s="70">
        <f t="shared" si="28"/>
        <v>36</v>
      </c>
      <c r="AE100" s="71">
        <f t="shared" si="29"/>
        <v>1346.1290322580644</v>
      </c>
      <c r="AF100" s="71">
        <f t="shared" si="30"/>
        <v>13737.483870967742</v>
      </c>
    </row>
    <row r="101" spans="1:32" x14ac:dyDescent="0.2">
      <c r="A101" s="64" t="s">
        <v>638</v>
      </c>
      <c r="B101" s="65">
        <v>96</v>
      </c>
      <c r="C101" s="65" t="s">
        <v>403</v>
      </c>
      <c r="D101" s="64" t="s">
        <v>638</v>
      </c>
      <c r="E101" s="66" t="s">
        <v>50</v>
      </c>
      <c r="F101" s="66" t="s">
        <v>484</v>
      </c>
      <c r="G101" s="67">
        <v>42856</v>
      </c>
      <c r="H101" s="67"/>
      <c r="I101" s="65">
        <v>36</v>
      </c>
      <c r="J101" s="68">
        <f t="shared" si="18"/>
        <v>5806.4516129032254</v>
      </c>
      <c r="K101" s="68">
        <f t="shared" si="19"/>
        <v>0</v>
      </c>
      <c r="L101" s="68">
        <f t="shared" si="20"/>
        <v>290.32258064516128</v>
      </c>
      <c r="M101" s="68"/>
      <c r="N101" s="68">
        <f t="shared" si="32"/>
        <v>929.0322580645161</v>
      </c>
      <c r="O101" s="68"/>
      <c r="P101" s="68">
        <f>((1950+1441-178+1017+0)/I$3)*I101</f>
        <v>4912.2580645161288</v>
      </c>
      <c r="Q101" s="68">
        <v>0</v>
      </c>
      <c r="R101" s="68">
        <v>0</v>
      </c>
      <c r="S101" s="68">
        <f t="shared" si="21"/>
        <v>11938.06451612903</v>
      </c>
      <c r="T101" s="69">
        <f t="shared" si="22"/>
        <v>696.77419354838707</v>
      </c>
      <c r="U101" s="69">
        <f t="shared" si="31"/>
        <v>209</v>
      </c>
      <c r="V101" s="68">
        <v>0</v>
      </c>
      <c r="W101" s="68">
        <v>12</v>
      </c>
      <c r="X101" s="68">
        <f t="shared" si="23"/>
        <v>917.77419354838707</v>
      </c>
      <c r="Y101" s="68">
        <f t="shared" si="24"/>
        <v>11020.290322580644</v>
      </c>
      <c r="Z101" s="68"/>
      <c r="AA101" s="68">
        <f t="shared" si="25"/>
        <v>11020.290322580644</v>
      </c>
      <c r="AB101" s="69">
        <f t="shared" si="26"/>
        <v>763.54838709677415</v>
      </c>
      <c r="AC101" s="69">
        <f t="shared" si="27"/>
        <v>568</v>
      </c>
      <c r="AD101" s="70">
        <f t="shared" si="28"/>
        <v>36</v>
      </c>
      <c r="AE101" s="71">
        <f t="shared" si="29"/>
        <v>1367.5483870967741</v>
      </c>
      <c r="AF101" s="71">
        <f t="shared" si="30"/>
        <v>13305.612903225805</v>
      </c>
    </row>
    <row r="102" spans="1:32" x14ac:dyDescent="0.2">
      <c r="A102" s="64" t="s">
        <v>641</v>
      </c>
      <c r="B102" s="65">
        <v>97</v>
      </c>
      <c r="C102" s="65" t="s">
        <v>406</v>
      </c>
      <c r="D102" s="64" t="s">
        <v>641</v>
      </c>
      <c r="E102" s="66" t="s">
        <v>50</v>
      </c>
      <c r="F102" s="65" t="s">
        <v>234</v>
      </c>
      <c r="G102" s="67">
        <v>42856</v>
      </c>
      <c r="H102" s="67"/>
      <c r="I102" s="65">
        <v>33</v>
      </c>
      <c r="J102" s="68">
        <f t="shared" ref="J102:J133" si="33">(5000/I$3)*I102</f>
        <v>5322.5806451612898</v>
      </c>
      <c r="K102" s="68">
        <f t="shared" si="19"/>
        <v>0</v>
      </c>
      <c r="L102" s="68">
        <f t="shared" si="20"/>
        <v>266.12903225806451</v>
      </c>
      <c r="M102" s="68"/>
      <c r="N102" s="68">
        <f t="shared" si="32"/>
        <v>851.61290322580635</v>
      </c>
      <c r="O102" s="68"/>
      <c r="P102" s="68">
        <f>((1950+1441-178+1017+1018+0)/I$3)*I102</f>
        <v>5586.5806451612898</v>
      </c>
      <c r="Q102" s="68">
        <v>0</v>
      </c>
      <c r="R102" s="68">
        <v>0</v>
      </c>
      <c r="S102" s="68">
        <f t="shared" si="21"/>
        <v>12026.903225806451</v>
      </c>
      <c r="T102" s="69">
        <f t="shared" si="22"/>
        <v>638.70967741935476</v>
      </c>
      <c r="U102" s="69">
        <f t="shared" si="31"/>
        <v>211</v>
      </c>
      <c r="V102" s="68">
        <v>0</v>
      </c>
      <c r="W102" s="68">
        <v>12</v>
      </c>
      <c r="X102" s="68">
        <f t="shared" si="23"/>
        <v>861.70967741935476</v>
      </c>
      <c r="Y102" s="68">
        <f t="shared" si="24"/>
        <v>11165.193548387097</v>
      </c>
      <c r="Z102" s="68"/>
      <c r="AA102" s="68">
        <f t="shared" si="25"/>
        <v>11165.193548387097</v>
      </c>
      <c r="AB102" s="69">
        <f t="shared" si="26"/>
        <v>699.91935483870964</v>
      </c>
      <c r="AC102" s="69">
        <f t="shared" si="27"/>
        <v>572</v>
      </c>
      <c r="AD102" s="70">
        <f t="shared" si="28"/>
        <v>36</v>
      </c>
      <c r="AE102" s="71">
        <f t="shared" si="29"/>
        <v>1307.9193548387098</v>
      </c>
      <c r="AF102" s="71">
        <f t="shared" si="30"/>
        <v>13334.822580645161</v>
      </c>
    </row>
    <row r="103" spans="1:32" x14ac:dyDescent="0.2">
      <c r="A103" s="64" t="s">
        <v>642</v>
      </c>
      <c r="B103" s="65">
        <v>98</v>
      </c>
      <c r="C103" s="65" t="s">
        <v>407</v>
      </c>
      <c r="D103" s="64" t="s">
        <v>642</v>
      </c>
      <c r="E103" s="66" t="s">
        <v>50</v>
      </c>
      <c r="F103" s="65" t="s">
        <v>484</v>
      </c>
      <c r="G103" s="67">
        <v>43078</v>
      </c>
      <c r="H103" s="67"/>
      <c r="I103" s="65">
        <v>28</v>
      </c>
      <c r="J103" s="68">
        <f t="shared" si="33"/>
        <v>4516.1290322580644</v>
      </c>
      <c r="K103" s="68">
        <f t="shared" si="19"/>
        <v>0</v>
      </c>
      <c r="L103" s="68">
        <f t="shared" si="20"/>
        <v>225.80645161290323</v>
      </c>
      <c r="M103" s="68"/>
      <c r="N103" s="68">
        <f t="shared" si="32"/>
        <v>722.58064516129025</v>
      </c>
      <c r="O103" s="68"/>
      <c r="P103" s="68">
        <f>((5248-1018)/I$3)*I103</f>
        <v>3820.645161290322</v>
      </c>
      <c r="Q103" s="68">
        <v>0</v>
      </c>
      <c r="R103" s="68">
        <v>0</v>
      </c>
      <c r="S103" s="68">
        <f t="shared" si="21"/>
        <v>9285.1612903225796</v>
      </c>
      <c r="T103" s="69">
        <f t="shared" si="22"/>
        <v>541.93548387096769</v>
      </c>
      <c r="U103" s="69">
        <f t="shared" si="31"/>
        <v>163</v>
      </c>
      <c r="V103" s="68">
        <v>0</v>
      </c>
      <c r="W103" s="68">
        <v>12</v>
      </c>
      <c r="X103" s="68">
        <f t="shared" si="23"/>
        <v>716.93548387096769</v>
      </c>
      <c r="Y103" s="68">
        <f t="shared" si="24"/>
        <v>8568.2258064516118</v>
      </c>
      <c r="Z103" s="68"/>
      <c r="AA103" s="68">
        <f t="shared" si="25"/>
        <v>8568.2258064516118</v>
      </c>
      <c r="AB103" s="69">
        <f t="shared" si="26"/>
        <v>593.87096774193549</v>
      </c>
      <c r="AC103" s="69">
        <f t="shared" si="27"/>
        <v>442</v>
      </c>
      <c r="AD103" s="70">
        <f t="shared" si="28"/>
        <v>36</v>
      </c>
      <c r="AE103" s="71">
        <f t="shared" si="29"/>
        <v>1071.8709677419356</v>
      </c>
      <c r="AF103" s="71">
        <f t="shared" si="30"/>
        <v>10357.032258064515</v>
      </c>
    </row>
    <row r="104" spans="1:32" x14ac:dyDescent="0.2">
      <c r="A104" s="64" t="s">
        <v>643</v>
      </c>
      <c r="B104" s="65">
        <v>99</v>
      </c>
      <c r="C104" s="65" t="s">
        <v>408</v>
      </c>
      <c r="D104" s="64" t="s">
        <v>643</v>
      </c>
      <c r="E104" s="66" t="s">
        <v>50</v>
      </c>
      <c r="F104" s="65" t="s">
        <v>234</v>
      </c>
      <c r="G104" s="67">
        <v>42856</v>
      </c>
      <c r="H104" s="67"/>
      <c r="I104" s="65">
        <v>25</v>
      </c>
      <c r="J104" s="68">
        <f t="shared" si="33"/>
        <v>4032.2580645161288</v>
      </c>
      <c r="K104" s="68">
        <f t="shared" si="19"/>
        <v>0</v>
      </c>
      <c r="L104" s="68">
        <f t="shared" si="20"/>
        <v>201.61290322580646</v>
      </c>
      <c r="M104" s="68"/>
      <c r="N104" s="68">
        <f t="shared" si="32"/>
        <v>645.16129032258061</v>
      </c>
      <c r="O104" s="68"/>
      <c r="P104" s="68">
        <f>((7793)/I$3)*I104</f>
        <v>6284.6774193548381</v>
      </c>
      <c r="Q104" s="68">
        <v>0</v>
      </c>
      <c r="R104" s="68">
        <v>0</v>
      </c>
      <c r="S104" s="68">
        <f t="shared" si="21"/>
        <v>11163.709677419354</v>
      </c>
      <c r="T104" s="69">
        <f t="shared" si="22"/>
        <v>483.87096774193543</v>
      </c>
      <c r="U104" s="69">
        <f t="shared" ref="U104:U135" si="34">ROUNDUP((S104*1.75%),0)</f>
        <v>196</v>
      </c>
      <c r="V104" s="68">
        <v>0</v>
      </c>
      <c r="W104" s="68">
        <v>12</v>
      </c>
      <c r="X104" s="68">
        <f t="shared" si="23"/>
        <v>691.87096774193537</v>
      </c>
      <c r="Y104" s="68">
        <f t="shared" si="24"/>
        <v>10471.838709677419</v>
      </c>
      <c r="Z104" s="68"/>
      <c r="AA104" s="68">
        <f t="shared" si="25"/>
        <v>10471.838709677419</v>
      </c>
      <c r="AB104" s="69">
        <f t="shared" si="26"/>
        <v>530.24193548387098</v>
      </c>
      <c r="AC104" s="69">
        <f t="shared" si="27"/>
        <v>531</v>
      </c>
      <c r="AD104" s="70">
        <f t="shared" si="28"/>
        <v>36</v>
      </c>
      <c r="AE104" s="71">
        <f t="shared" si="29"/>
        <v>1097.241935483871</v>
      </c>
      <c r="AF104" s="71">
        <f t="shared" si="30"/>
        <v>12260.951612903225</v>
      </c>
    </row>
    <row r="105" spans="1:32" x14ac:dyDescent="0.2">
      <c r="A105" s="64" t="s">
        <v>644</v>
      </c>
      <c r="B105" s="65">
        <v>100</v>
      </c>
      <c r="C105" s="65" t="s">
        <v>409</v>
      </c>
      <c r="D105" s="64" t="s">
        <v>644</v>
      </c>
      <c r="E105" s="66" t="s">
        <v>50</v>
      </c>
      <c r="F105" s="65" t="s">
        <v>234</v>
      </c>
      <c r="G105" s="67">
        <v>42856</v>
      </c>
      <c r="H105" s="67"/>
      <c r="I105" s="65">
        <v>32</v>
      </c>
      <c r="J105" s="68">
        <f t="shared" si="33"/>
        <v>5161.2903225806449</v>
      </c>
      <c r="K105" s="68">
        <f t="shared" si="19"/>
        <v>0</v>
      </c>
      <c r="L105" s="68">
        <f t="shared" si="20"/>
        <v>258.06451612903226</v>
      </c>
      <c r="M105" s="68"/>
      <c r="N105" s="68">
        <f t="shared" ref="N105:N136" si="35">((800)/I$3)*I105</f>
        <v>825.80645161290317</v>
      </c>
      <c r="O105" s="68"/>
      <c r="P105" s="68">
        <f>((1950+1441-178+1017+1018+0)/I$3)*I105</f>
        <v>5417.2903225806449</v>
      </c>
      <c r="Q105" s="68">
        <v>0</v>
      </c>
      <c r="R105" s="68">
        <v>0</v>
      </c>
      <c r="S105" s="68">
        <f t="shared" si="21"/>
        <v>11662.451612903225</v>
      </c>
      <c r="T105" s="69">
        <f t="shared" si="22"/>
        <v>619.35483870967732</v>
      </c>
      <c r="U105" s="69">
        <f t="shared" si="34"/>
        <v>205</v>
      </c>
      <c r="V105" s="68">
        <v>0</v>
      </c>
      <c r="W105" s="68">
        <v>12</v>
      </c>
      <c r="X105" s="68">
        <f t="shared" si="23"/>
        <v>836.35483870967732</v>
      </c>
      <c r="Y105" s="68">
        <f t="shared" si="24"/>
        <v>10826.096774193547</v>
      </c>
      <c r="Z105" s="68"/>
      <c r="AA105" s="68">
        <f t="shared" si="25"/>
        <v>10826.096774193547</v>
      </c>
      <c r="AB105" s="69">
        <f t="shared" si="26"/>
        <v>678.70967741935488</v>
      </c>
      <c r="AC105" s="69">
        <f t="shared" si="27"/>
        <v>554</v>
      </c>
      <c r="AD105" s="70">
        <f t="shared" si="28"/>
        <v>36</v>
      </c>
      <c r="AE105" s="71">
        <f t="shared" si="29"/>
        <v>1268.7096774193549</v>
      </c>
      <c r="AF105" s="71">
        <f t="shared" si="30"/>
        <v>12931.16129032258</v>
      </c>
    </row>
    <row r="106" spans="1:32" x14ac:dyDescent="0.2">
      <c r="A106" s="64" t="s">
        <v>801</v>
      </c>
      <c r="B106" s="65">
        <v>101</v>
      </c>
      <c r="C106" s="65" t="s">
        <v>495</v>
      </c>
      <c r="D106" s="64" t="s">
        <v>801</v>
      </c>
      <c r="E106" s="66" t="s">
        <v>50</v>
      </c>
      <c r="F106" s="65" t="s">
        <v>581</v>
      </c>
      <c r="G106" s="67">
        <v>42900</v>
      </c>
      <c r="H106" s="67"/>
      <c r="I106" s="65">
        <v>34</v>
      </c>
      <c r="J106" s="68">
        <f t="shared" si="33"/>
        <v>5483.8709677419356</v>
      </c>
      <c r="K106" s="68">
        <f t="shared" si="19"/>
        <v>0</v>
      </c>
      <c r="L106" s="68">
        <f t="shared" si="20"/>
        <v>274.19354838709677</v>
      </c>
      <c r="M106" s="68"/>
      <c r="N106" s="68">
        <f t="shared" si="35"/>
        <v>877.41935483870964</v>
      </c>
      <c r="O106" s="68"/>
      <c r="P106" s="68">
        <f>((1950+1441-178+1017+0)/I$3)*I106</f>
        <v>4639.3548387096771</v>
      </c>
      <c r="Q106" s="68">
        <v>0</v>
      </c>
      <c r="R106" s="68">
        <v>0</v>
      </c>
      <c r="S106" s="68">
        <f t="shared" si="21"/>
        <v>11274.838709677419</v>
      </c>
      <c r="T106" s="69">
        <f t="shared" si="22"/>
        <v>658.0645161290322</v>
      </c>
      <c r="U106" s="69">
        <f t="shared" si="34"/>
        <v>198</v>
      </c>
      <c r="V106" s="68">
        <v>0</v>
      </c>
      <c r="W106" s="68">
        <v>12</v>
      </c>
      <c r="X106" s="68">
        <f t="shared" si="23"/>
        <v>868.0645161290322</v>
      </c>
      <c r="Y106" s="68">
        <f t="shared" si="24"/>
        <v>10406.774193548386</v>
      </c>
      <c r="Z106" s="68"/>
      <c r="AA106" s="68">
        <f t="shared" si="25"/>
        <v>10406.774193548386</v>
      </c>
      <c r="AB106" s="69">
        <f t="shared" si="26"/>
        <v>721.12903225806451</v>
      </c>
      <c r="AC106" s="69">
        <f t="shared" si="27"/>
        <v>536</v>
      </c>
      <c r="AD106" s="70">
        <f t="shared" si="28"/>
        <v>36</v>
      </c>
      <c r="AE106" s="71">
        <f t="shared" si="29"/>
        <v>1293.1290322580644</v>
      </c>
      <c r="AF106" s="71">
        <f t="shared" si="30"/>
        <v>12567.967741935483</v>
      </c>
    </row>
    <row r="107" spans="1:32" x14ac:dyDescent="0.2">
      <c r="A107" s="64" t="s">
        <v>818</v>
      </c>
      <c r="B107" s="65">
        <v>102</v>
      </c>
      <c r="C107" s="65" t="s">
        <v>553</v>
      </c>
      <c r="D107" s="64" t="s">
        <v>818</v>
      </c>
      <c r="E107" s="66" t="s">
        <v>50</v>
      </c>
      <c r="F107" s="65" t="s">
        <v>484</v>
      </c>
      <c r="G107" s="67">
        <v>42887</v>
      </c>
      <c r="H107" s="67"/>
      <c r="I107" s="65">
        <v>34</v>
      </c>
      <c r="J107" s="68">
        <f t="shared" si="33"/>
        <v>5483.8709677419356</v>
      </c>
      <c r="K107" s="68">
        <f t="shared" si="19"/>
        <v>0</v>
      </c>
      <c r="L107" s="68">
        <f t="shared" si="20"/>
        <v>274.19354838709677</v>
      </c>
      <c r="M107" s="68"/>
      <c r="N107" s="68">
        <f t="shared" si="35"/>
        <v>877.41935483870964</v>
      </c>
      <c r="O107" s="68"/>
      <c r="P107" s="68">
        <f>((1950+1441-178+1017+0)/I$3)*I107</f>
        <v>4639.3548387096771</v>
      </c>
      <c r="Q107" s="68">
        <v>0</v>
      </c>
      <c r="R107" s="68">
        <v>0</v>
      </c>
      <c r="S107" s="68">
        <f t="shared" si="21"/>
        <v>11274.838709677419</v>
      </c>
      <c r="T107" s="69">
        <f t="shared" si="22"/>
        <v>658.0645161290322</v>
      </c>
      <c r="U107" s="69">
        <f t="shared" si="34"/>
        <v>198</v>
      </c>
      <c r="V107" s="68">
        <v>0</v>
      </c>
      <c r="W107" s="68">
        <v>12</v>
      </c>
      <c r="X107" s="68">
        <f t="shared" si="23"/>
        <v>868.0645161290322</v>
      </c>
      <c r="Y107" s="68">
        <f t="shared" si="24"/>
        <v>10406.774193548386</v>
      </c>
      <c r="Z107" s="68"/>
      <c r="AA107" s="68">
        <f t="shared" si="25"/>
        <v>10406.774193548386</v>
      </c>
      <c r="AB107" s="69">
        <f t="shared" si="26"/>
        <v>721.12903225806451</v>
      </c>
      <c r="AC107" s="69">
        <f t="shared" si="27"/>
        <v>536</v>
      </c>
      <c r="AD107" s="70">
        <f t="shared" si="28"/>
        <v>36</v>
      </c>
      <c r="AE107" s="71">
        <f t="shared" si="29"/>
        <v>1293.1290322580644</v>
      </c>
      <c r="AF107" s="71">
        <f t="shared" si="30"/>
        <v>12567.967741935483</v>
      </c>
    </row>
    <row r="108" spans="1:32" x14ac:dyDescent="0.2">
      <c r="A108" s="64" t="s">
        <v>805</v>
      </c>
      <c r="B108" s="65">
        <v>103</v>
      </c>
      <c r="C108" s="65" t="s">
        <v>392</v>
      </c>
      <c r="D108" s="64" t="s">
        <v>805</v>
      </c>
      <c r="E108" s="66" t="s">
        <v>50</v>
      </c>
      <c r="F108" s="65" t="s">
        <v>707</v>
      </c>
      <c r="G108" s="67">
        <v>42912</v>
      </c>
      <c r="H108" s="67"/>
      <c r="I108" s="65">
        <v>34</v>
      </c>
      <c r="J108" s="68">
        <f t="shared" si="33"/>
        <v>5483.8709677419356</v>
      </c>
      <c r="K108" s="68">
        <f t="shared" si="19"/>
        <v>0</v>
      </c>
      <c r="L108" s="68">
        <f t="shared" si="20"/>
        <v>274.19354838709677</v>
      </c>
      <c r="M108" s="68"/>
      <c r="N108" s="68">
        <f t="shared" si="35"/>
        <v>877.41935483870964</v>
      </c>
      <c r="O108" s="68"/>
      <c r="P108" s="68">
        <f>((1950+1441-178+1017+1018+0)/I$3)*I108</f>
        <v>5755.8709677419356</v>
      </c>
      <c r="Q108" s="68">
        <v>0</v>
      </c>
      <c r="R108" s="68"/>
      <c r="S108" s="68">
        <f t="shared" si="21"/>
        <v>12391.354838709678</v>
      </c>
      <c r="T108" s="69">
        <f t="shared" si="22"/>
        <v>658.0645161290322</v>
      </c>
      <c r="U108" s="69">
        <f t="shared" si="34"/>
        <v>217</v>
      </c>
      <c r="V108" s="68">
        <v>0</v>
      </c>
      <c r="W108" s="68">
        <v>12</v>
      </c>
      <c r="X108" s="68">
        <f t="shared" si="23"/>
        <v>887.0645161290322</v>
      </c>
      <c r="Y108" s="68">
        <f t="shared" si="24"/>
        <v>11504.290322580646</v>
      </c>
      <c r="Z108" s="68"/>
      <c r="AA108" s="68">
        <f t="shared" si="25"/>
        <v>11504.290322580646</v>
      </c>
      <c r="AB108" s="69">
        <f t="shared" si="26"/>
        <v>721.12903225806451</v>
      </c>
      <c r="AC108" s="69">
        <f t="shared" si="27"/>
        <v>589</v>
      </c>
      <c r="AD108" s="70">
        <f t="shared" si="28"/>
        <v>36</v>
      </c>
      <c r="AE108" s="71">
        <f t="shared" si="29"/>
        <v>1346.1290322580644</v>
      </c>
      <c r="AF108" s="71">
        <f t="shared" si="30"/>
        <v>13737.483870967742</v>
      </c>
    </row>
    <row r="109" spans="1:32" x14ac:dyDescent="0.2">
      <c r="A109" s="64" t="s">
        <v>819</v>
      </c>
      <c r="B109" s="65">
        <v>104</v>
      </c>
      <c r="C109" s="65" t="s">
        <v>554</v>
      </c>
      <c r="D109" s="64" t="s">
        <v>819</v>
      </c>
      <c r="E109" s="66" t="s">
        <v>50</v>
      </c>
      <c r="F109" s="65" t="s">
        <v>239</v>
      </c>
      <c r="G109" s="67">
        <v>42537</v>
      </c>
      <c r="H109" s="67"/>
      <c r="I109" s="65">
        <v>37</v>
      </c>
      <c r="J109" s="68">
        <f t="shared" si="33"/>
        <v>5967.7419354838703</v>
      </c>
      <c r="K109" s="68">
        <f t="shared" si="19"/>
        <v>0</v>
      </c>
      <c r="L109" s="68">
        <f t="shared" si="20"/>
        <v>298.38709677419354</v>
      </c>
      <c r="M109" s="68"/>
      <c r="N109" s="68">
        <f t="shared" si="35"/>
        <v>954.83870967741927</v>
      </c>
      <c r="O109" s="68"/>
      <c r="P109" s="68">
        <f t="shared" ref="P109:P116" si="36">((1950+1441-178+1017+0)/I$3)*I109</f>
        <v>5048.7096774193542</v>
      </c>
      <c r="Q109" s="68">
        <v>0</v>
      </c>
      <c r="R109" s="68">
        <v>0</v>
      </c>
      <c r="S109" s="68">
        <f t="shared" si="21"/>
        <v>12269.677419354837</v>
      </c>
      <c r="T109" s="69">
        <f t="shared" si="22"/>
        <v>716.1290322580644</v>
      </c>
      <c r="U109" s="69">
        <f t="shared" si="34"/>
        <v>215</v>
      </c>
      <c r="V109" s="68">
        <v>0</v>
      </c>
      <c r="W109" s="68">
        <v>12</v>
      </c>
      <c r="X109" s="68">
        <f t="shared" si="23"/>
        <v>943.1290322580644</v>
      </c>
      <c r="Y109" s="68">
        <f t="shared" si="24"/>
        <v>11326.548387096773</v>
      </c>
      <c r="Z109" s="68"/>
      <c r="AA109" s="68">
        <f t="shared" si="25"/>
        <v>11326.548387096773</v>
      </c>
      <c r="AB109" s="69">
        <f t="shared" si="26"/>
        <v>784.75806451612902</v>
      </c>
      <c r="AC109" s="69">
        <f t="shared" si="27"/>
        <v>583</v>
      </c>
      <c r="AD109" s="70">
        <f t="shared" si="28"/>
        <v>36</v>
      </c>
      <c r="AE109" s="71">
        <f t="shared" si="29"/>
        <v>1403.758064516129</v>
      </c>
      <c r="AF109" s="71">
        <f t="shared" si="30"/>
        <v>13673.435483870966</v>
      </c>
    </row>
    <row r="110" spans="1:32" x14ac:dyDescent="0.2">
      <c r="A110" s="64" t="s">
        <v>820</v>
      </c>
      <c r="B110" s="65">
        <v>105</v>
      </c>
      <c r="C110" s="65" t="s">
        <v>557</v>
      </c>
      <c r="D110" s="64" t="s">
        <v>820</v>
      </c>
      <c r="E110" s="66" t="s">
        <v>50</v>
      </c>
      <c r="F110" s="65" t="s">
        <v>484</v>
      </c>
      <c r="G110" s="67">
        <v>42891</v>
      </c>
      <c r="H110" s="67"/>
      <c r="I110" s="65">
        <v>23</v>
      </c>
      <c r="J110" s="68">
        <f t="shared" si="33"/>
        <v>3709.6774193548385</v>
      </c>
      <c r="K110" s="68">
        <f t="shared" si="19"/>
        <v>0</v>
      </c>
      <c r="L110" s="68">
        <f t="shared" si="20"/>
        <v>185.48387096774195</v>
      </c>
      <c r="M110" s="68"/>
      <c r="N110" s="68">
        <f t="shared" si="35"/>
        <v>593.54838709677415</v>
      </c>
      <c r="O110" s="68"/>
      <c r="P110" s="68">
        <f t="shared" si="36"/>
        <v>3138.3870967741932</v>
      </c>
      <c r="Q110" s="68">
        <v>0</v>
      </c>
      <c r="R110" s="68">
        <v>0</v>
      </c>
      <c r="S110" s="68">
        <f t="shared" si="21"/>
        <v>7627.0967741935474</v>
      </c>
      <c r="T110" s="69">
        <f t="shared" si="22"/>
        <v>445.16129032258061</v>
      </c>
      <c r="U110" s="69">
        <f t="shared" si="34"/>
        <v>134</v>
      </c>
      <c r="V110" s="68">
        <v>0</v>
      </c>
      <c r="W110" s="68">
        <v>12</v>
      </c>
      <c r="X110" s="68">
        <f t="shared" si="23"/>
        <v>591.16129032258061</v>
      </c>
      <c r="Y110" s="68">
        <f t="shared" si="24"/>
        <v>7035.9354838709669</v>
      </c>
      <c r="Z110" s="68"/>
      <c r="AA110" s="68">
        <f t="shared" si="25"/>
        <v>7035.9354838709669</v>
      </c>
      <c r="AB110" s="69">
        <f t="shared" si="26"/>
        <v>487.82258064516128</v>
      </c>
      <c r="AC110" s="69">
        <f t="shared" si="27"/>
        <v>363</v>
      </c>
      <c r="AD110" s="70">
        <f t="shared" si="28"/>
        <v>36</v>
      </c>
      <c r="AE110" s="71">
        <f t="shared" si="29"/>
        <v>886.82258064516122</v>
      </c>
      <c r="AF110" s="71">
        <f t="shared" si="30"/>
        <v>8513.9193548387084</v>
      </c>
    </row>
    <row r="111" spans="1:32" x14ac:dyDescent="0.2">
      <c r="A111" s="64" t="s">
        <v>821</v>
      </c>
      <c r="B111" s="65">
        <v>106</v>
      </c>
      <c r="C111" s="65" t="s">
        <v>560</v>
      </c>
      <c r="D111" s="64" t="s">
        <v>821</v>
      </c>
      <c r="E111" s="66" t="s">
        <v>50</v>
      </c>
      <c r="F111" s="65" t="s">
        <v>484</v>
      </c>
      <c r="G111" s="67">
        <v>42895</v>
      </c>
      <c r="H111" s="67"/>
      <c r="I111" s="65">
        <v>32</v>
      </c>
      <c r="J111" s="68">
        <f t="shared" si="33"/>
        <v>5161.2903225806449</v>
      </c>
      <c r="K111" s="68">
        <f t="shared" si="19"/>
        <v>0</v>
      </c>
      <c r="L111" s="68">
        <f t="shared" si="20"/>
        <v>258.06451612903226</v>
      </c>
      <c r="M111" s="68"/>
      <c r="N111" s="68">
        <f t="shared" si="35"/>
        <v>825.80645161290317</v>
      </c>
      <c r="O111" s="68"/>
      <c r="P111" s="68">
        <f t="shared" si="36"/>
        <v>4366.4516129032254</v>
      </c>
      <c r="Q111" s="68">
        <v>0</v>
      </c>
      <c r="R111" s="68">
        <v>0</v>
      </c>
      <c r="S111" s="68">
        <f t="shared" si="21"/>
        <v>10611.612903225807</v>
      </c>
      <c r="T111" s="69">
        <f t="shared" si="22"/>
        <v>619.35483870967732</v>
      </c>
      <c r="U111" s="69">
        <f t="shared" si="34"/>
        <v>186</v>
      </c>
      <c r="V111" s="68">
        <v>0</v>
      </c>
      <c r="W111" s="68">
        <v>12</v>
      </c>
      <c r="X111" s="68">
        <f t="shared" si="23"/>
        <v>817.35483870967732</v>
      </c>
      <c r="Y111" s="68">
        <f t="shared" si="24"/>
        <v>9794.2580645161288</v>
      </c>
      <c r="Z111" s="68"/>
      <c r="AA111" s="68">
        <f t="shared" si="25"/>
        <v>9794.2580645161288</v>
      </c>
      <c r="AB111" s="69">
        <f t="shared" si="26"/>
        <v>678.70967741935488</v>
      </c>
      <c r="AC111" s="69">
        <f t="shared" si="27"/>
        <v>505</v>
      </c>
      <c r="AD111" s="70">
        <f t="shared" si="28"/>
        <v>36</v>
      </c>
      <c r="AE111" s="71">
        <f t="shared" si="29"/>
        <v>1219.7096774193549</v>
      </c>
      <c r="AF111" s="71">
        <f t="shared" si="30"/>
        <v>11831.322580645161</v>
      </c>
    </row>
    <row r="112" spans="1:32" x14ac:dyDescent="0.2">
      <c r="A112" s="64" t="s">
        <v>823</v>
      </c>
      <c r="B112" s="65">
        <v>107</v>
      </c>
      <c r="C112" s="65" t="s">
        <v>562</v>
      </c>
      <c r="D112" s="64" t="s">
        <v>823</v>
      </c>
      <c r="E112" s="66" t="s">
        <v>50</v>
      </c>
      <c r="F112" s="65" t="s">
        <v>484</v>
      </c>
      <c r="G112" s="67">
        <v>42888</v>
      </c>
      <c r="H112" s="67"/>
      <c r="I112" s="65">
        <v>19</v>
      </c>
      <c r="J112" s="68">
        <f t="shared" si="33"/>
        <v>3064.516129032258</v>
      </c>
      <c r="K112" s="68">
        <f t="shared" si="19"/>
        <v>0</v>
      </c>
      <c r="L112" s="68">
        <f t="shared" si="20"/>
        <v>153.2258064516129</v>
      </c>
      <c r="M112" s="68"/>
      <c r="N112" s="68">
        <f t="shared" si="35"/>
        <v>490.32258064516128</v>
      </c>
      <c r="O112" s="68"/>
      <c r="P112" s="68">
        <f t="shared" si="36"/>
        <v>2592.5806451612902</v>
      </c>
      <c r="Q112" s="68">
        <v>0</v>
      </c>
      <c r="R112" s="68">
        <v>0</v>
      </c>
      <c r="S112" s="68">
        <f t="shared" si="21"/>
        <v>6300.645161290322</v>
      </c>
      <c r="T112" s="69">
        <f t="shared" si="22"/>
        <v>367.74193548387098</v>
      </c>
      <c r="U112" s="69">
        <f t="shared" si="34"/>
        <v>111</v>
      </c>
      <c r="V112" s="68">
        <v>0</v>
      </c>
      <c r="W112" s="68">
        <v>12</v>
      </c>
      <c r="X112" s="68">
        <f t="shared" si="23"/>
        <v>490.74193548387098</v>
      </c>
      <c r="Y112" s="68">
        <f t="shared" si="24"/>
        <v>5809.9032258064508</v>
      </c>
      <c r="Z112" s="68"/>
      <c r="AA112" s="68">
        <f t="shared" si="25"/>
        <v>5809.9032258064508</v>
      </c>
      <c r="AB112" s="69">
        <f t="shared" si="26"/>
        <v>402.98387096774195</v>
      </c>
      <c r="AC112" s="69">
        <f t="shared" si="27"/>
        <v>300</v>
      </c>
      <c r="AD112" s="70">
        <f t="shared" si="28"/>
        <v>36</v>
      </c>
      <c r="AE112" s="71">
        <f t="shared" si="29"/>
        <v>738.98387096774195</v>
      </c>
      <c r="AF112" s="71">
        <f t="shared" si="30"/>
        <v>7039.6290322580644</v>
      </c>
    </row>
    <row r="113" spans="1:32" x14ac:dyDescent="0.2">
      <c r="A113" s="64" t="s">
        <v>827</v>
      </c>
      <c r="B113" s="65">
        <v>108</v>
      </c>
      <c r="C113" s="65" t="s">
        <v>567</v>
      </c>
      <c r="D113" s="64" t="s">
        <v>827</v>
      </c>
      <c r="E113" s="66" t="s">
        <v>50</v>
      </c>
      <c r="F113" s="65" t="s">
        <v>484</v>
      </c>
      <c r="G113" s="67">
        <v>42887</v>
      </c>
      <c r="H113" s="67"/>
      <c r="I113" s="65">
        <v>37</v>
      </c>
      <c r="J113" s="68">
        <f t="shared" si="33"/>
        <v>5967.7419354838703</v>
      </c>
      <c r="K113" s="68">
        <f t="shared" si="19"/>
        <v>0</v>
      </c>
      <c r="L113" s="68">
        <f t="shared" si="20"/>
        <v>298.38709677419354</v>
      </c>
      <c r="M113" s="68"/>
      <c r="N113" s="68">
        <f t="shared" si="35"/>
        <v>954.83870967741927</v>
      </c>
      <c r="O113" s="68"/>
      <c r="P113" s="68">
        <f t="shared" si="36"/>
        <v>5048.7096774193542</v>
      </c>
      <c r="Q113" s="68">
        <v>0</v>
      </c>
      <c r="R113" s="68">
        <v>0</v>
      </c>
      <c r="S113" s="68">
        <f t="shared" si="21"/>
        <v>12269.677419354837</v>
      </c>
      <c r="T113" s="69">
        <f t="shared" si="22"/>
        <v>716.1290322580644</v>
      </c>
      <c r="U113" s="69">
        <f t="shared" si="34"/>
        <v>215</v>
      </c>
      <c r="V113" s="68">
        <v>0</v>
      </c>
      <c r="W113" s="68">
        <v>12</v>
      </c>
      <c r="X113" s="68">
        <f t="shared" si="23"/>
        <v>943.1290322580644</v>
      </c>
      <c r="Y113" s="68">
        <f t="shared" si="24"/>
        <v>11326.548387096773</v>
      </c>
      <c r="Z113" s="68"/>
      <c r="AA113" s="68">
        <f t="shared" si="25"/>
        <v>11326.548387096773</v>
      </c>
      <c r="AB113" s="69">
        <f t="shared" si="26"/>
        <v>784.75806451612902</v>
      </c>
      <c r="AC113" s="69">
        <f t="shared" si="27"/>
        <v>583</v>
      </c>
      <c r="AD113" s="70">
        <f t="shared" si="28"/>
        <v>36</v>
      </c>
      <c r="AE113" s="71">
        <f t="shared" si="29"/>
        <v>1403.758064516129</v>
      </c>
      <c r="AF113" s="71">
        <f t="shared" si="30"/>
        <v>13673.435483870966</v>
      </c>
    </row>
    <row r="114" spans="1:32" x14ac:dyDescent="0.2">
      <c r="A114" s="64" t="s">
        <v>828</v>
      </c>
      <c r="B114" s="65">
        <v>109</v>
      </c>
      <c r="C114" s="65" t="s">
        <v>706</v>
      </c>
      <c r="D114" s="64" t="s">
        <v>828</v>
      </c>
      <c r="E114" s="66" t="s">
        <v>50</v>
      </c>
      <c r="F114" s="65" t="s">
        <v>484</v>
      </c>
      <c r="G114" s="67">
        <v>42891</v>
      </c>
      <c r="H114" s="67"/>
      <c r="I114" s="65">
        <v>37</v>
      </c>
      <c r="J114" s="68">
        <f t="shared" si="33"/>
        <v>5967.7419354838703</v>
      </c>
      <c r="K114" s="68">
        <f t="shared" si="19"/>
        <v>0</v>
      </c>
      <c r="L114" s="68">
        <f t="shared" si="20"/>
        <v>298.38709677419354</v>
      </c>
      <c r="M114" s="68"/>
      <c r="N114" s="68">
        <f t="shared" si="35"/>
        <v>954.83870967741927</v>
      </c>
      <c r="O114" s="68"/>
      <c r="P114" s="68">
        <f t="shared" si="36"/>
        <v>5048.7096774193542</v>
      </c>
      <c r="Q114" s="68">
        <v>0</v>
      </c>
      <c r="R114" s="68">
        <v>0</v>
      </c>
      <c r="S114" s="68">
        <f t="shared" si="21"/>
        <v>12269.677419354837</v>
      </c>
      <c r="T114" s="69">
        <f t="shared" si="22"/>
        <v>716.1290322580644</v>
      </c>
      <c r="U114" s="69">
        <f t="shared" si="34"/>
        <v>215</v>
      </c>
      <c r="V114" s="68">
        <v>0</v>
      </c>
      <c r="W114" s="68">
        <v>12</v>
      </c>
      <c r="X114" s="68">
        <f t="shared" si="23"/>
        <v>943.1290322580644</v>
      </c>
      <c r="Y114" s="68">
        <f t="shared" si="24"/>
        <v>11326.548387096773</v>
      </c>
      <c r="Z114" s="68"/>
      <c r="AA114" s="68">
        <f t="shared" si="25"/>
        <v>11326.548387096773</v>
      </c>
      <c r="AB114" s="69">
        <f t="shared" si="26"/>
        <v>784.75806451612902</v>
      </c>
      <c r="AC114" s="69">
        <f t="shared" si="27"/>
        <v>583</v>
      </c>
      <c r="AD114" s="70">
        <f t="shared" si="28"/>
        <v>36</v>
      </c>
      <c r="AE114" s="71">
        <f t="shared" si="29"/>
        <v>1403.758064516129</v>
      </c>
      <c r="AF114" s="71">
        <f t="shared" si="30"/>
        <v>13673.435483870966</v>
      </c>
    </row>
    <row r="115" spans="1:32" x14ac:dyDescent="0.2">
      <c r="A115" s="64" t="s">
        <v>829</v>
      </c>
      <c r="B115" s="65">
        <v>110</v>
      </c>
      <c r="C115" s="65" t="s">
        <v>569</v>
      </c>
      <c r="D115" s="64" t="s">
        <v>829</v>
      </c>
      <c r="E115" s="66" t="s">
        <v>50</v>
      </c>
      <c r="F115" s="65" t="s">
        <v>484</v>
      </c>
      <c r="G115" s="67">
        <v>42892</v>
      </c>
      <c r="H115" s="67"/>
      <c r="I115" s="65">
        <v>33</v>
      </c>
      <c r="J115" s="68">
        <f t="shared" si="33"/>
        <v>5322.5806451612898</v>
      </c>
      <c r="K115" s="68">
        <f t="shared" si="19"/>
        <v>0</v>
      </c>
      <c r="L115" s="68">
        <f t="shared" si="20"/>
        <v>266.12903225806451</v>
      </c>
      <c r="M115" s="68"/>
      <c r="N115" s="68">
        <f t="shared" si="35"/>
        <v>851.61290322580635</v>
      </c>
      <c r="O115" s="68"/>
      <c r="P115" s="68">
        <f t="shared" si="36"/>
        <v>4502.9032258064508</v>
      </c>
      <c r="Q115" s="68">
        <v>0</v>
      </c>
      <c r="R115" s="68">
        <v>0</v>
      </c>
      <c r="S115" s="68">
        <f t="shared" si="21"/>
        <v>10943.225806451612</v>
      </c>
      <c r="T115" s="69">
        <f t="shared" si="22"/>
        <v>638.70967741935476</v>
      </c>
      <c r="U115" s="69">
        <f t="shared" si="34"/>
        <v>192</v>
      </c>
      <c r="V115" s="68">
        <v>0</v>
      </c>
      <c r="W115" s="68">
        <v>12</v>
      </c>
      <c r="X115" s="68">
        <f t="shared" si="23"/>
        <v>842.70967741935476</v>
      </c>
      <c r="Y115" s="68">
        <f t="shared" si="24"/>
        <v>10100.516129032258</v>
      </c>
      <c r="Z115" s="68"/>
      <c r="AA115" s="68">
        <f t="shared" si="25"/>
        <v>10100.516129032258</v>
      </c>
      <c r="AB115" s="69">
        <f t="shared" si="26"/>
        <v>699.91935483870964</v>
      </c>
      <c r="AC115" s="69">
        <f t="shared" si="27"/>
        <v>520</v>
      </c>
      <c r="AD115" s="70">
        <f t="shared" si="28"/>
        <v>36</v>
      </c>
      <c r="AE115" s="71">
        <f t="shared" si="29"/>
        <v>1255.9193548387098</v>
      </c>
      <c r="AF115" s="71">
        <f t="shared" si="30"/>
        <v>12199.145161290322</v>
      </c>
    </row>
    <row r="116" spans="1:32" x14ac:dyDescent="0.2">
      <c r="A116" s="64" t="s">
        <v>832</v>
      </c>
      <c r="B116" s="65">
        <v>111</v>
      </c>
      <c r="C116" s="65" t="s">
        <v>403</v>
      </c>
      <c r="D116" s="64" t="s">
        <v>832</v>
      </c>
      <c r="E116" s="66" t="s">
        <v>50</v>
      </c>
      <c r="F116" s="65" t="s">
        <v>241</v>
      </c>
      <c r="G116" s="67">
        <v>42898</v>
      </c>
      <c r="H116" s="67"/>
      <c r="I116" s="65">
        <v>22</v>
      </c>
      <c r="J116" s="68">
        <f t="shared" si="33"/>
        <v>3548.3870967741932</v>
      </c>
      <c r="K116" s="68">
        <f t="shared" si="19"/>
        <v>0</v>
      </c>
      <c r="L116" s="68">
        <f t="shared" si="20"/>
        <v>177.41935483870967</v>
      </c>
      <c r="M116" s="68"/>
      <c r="N116" s="68">
        <f t="shared" si="35"/>
        <v>567.74193548387098</v>
      </c>
      <c r="O116" s="68"/>
      <c r="P116" s="68">
        <f t="shared" si="36"/>
        <v>3001.9354838709673</v>
      </c>
      <c r="Q116" s="68">
        <v>0</v>
      </c>
      <c r="R116" s="68">
        <v>0</v>
      </c>
      <c r="S116" s="68">
        <f t="shared" si="21"/>
        <v>7295.4838709677406</v>
      </c>
      <c r="T116" s="69">
        <f t="shared" si="22"/>
        <v>425.80645161290317</v>
      </c>
      <c r="U116" s="69">
        <f t="shared" si="34"/>
        <v>128</v>
      </c>
      <c r="V116" s="68">
        <v>0</v>
      </c>
      <c r="W116" s="68">
        <v>12</v>
      </c>
      <c r="X116" s="68">
        <f t="shared" si="23"/>
        <v>565.80645161290317</v>
      </c>
      <c r="Y116" s="68">
        <f t="shared" si="24"/>
        <v>6729.6774193548372</v>
      </c>
      <c r="Z116" s="68"/>
      <c r="AA116" s="68">
        <f t="shared" si="25"/>
        <v>6729.6774193548372</v>
      </c>
      <c r="AB116" s="69">
        <f t="shared" si="26"/>
        <v>466.61290322580641</v>
      </c>
      <c r="AC116" s="69">
        <f t="shared" si="27"/>
        <v>347</v>
      </c>
      <c r="AD116" s="70">
        <f t="shared" si="28"/>
        <v>36</v>
      </c>
      <c r="AE116" s="71">
        <f t="shared" si="29"/>
        <v>849.61290322580635</v>
      </c>
      <c r="AF116" s="71">
        <f t="shared" si="30"/>
        <v>8145.0967741935474</v>
      </c>
    </row>
    <row r="117" spans="1:32" x14ac:dyDescent="0.2">
      <c r="A117" s="64" t="s">
        <v>803</v>
      </c>
      <c r="B117" s="65">
        <v>112</v>
      </c>
      <c r="C117" s="65" t="s">
        <v>503</v>
      </c>
      <c r="D117" s="64" t="s">
        <v>803</v>
      </c>
      <c r="E117" s="66" t="s">
        <v>50</v>
      </c>
      <c r="F117" s="65" t="s">
        <v>234</v>
      </c>
      <c r="G117" s="67">
        <v>42900</v>
      </c>
      <c r="H117" s="67"/>
      <c r="I117" s="65">
        <v>37</v>
      </c>
      <c r="J117" s="68">
        <f t="shared" si="33"/>
        <v>5967.7419354838703</v>
      </c>
      <c r="K117" s="68">
        <f t="shared" si="19"/>
        <v>0</v>
      </c>
      <c r="L117" s="68">
        <f t="shared" si="20"/>
        <v>298.38709677419354</v>
      </c>
      <c r="M117" s="68"/>
      <c r="N117" s="68">
        <f t="shared" si="35"/>
        <v>954.83870967741927</v>
      </c>
      <c r="O117" s="68"/>
      <c r="P117" s="68">
        <f t="shared" ref="P117:P122" si="37">((1950+1441-178+1017+1018+0)/I$3)*I117</f>
        <v>6263.7419354838703</v>
      </c>
      <c r="Q117" s="68">
        <v>0</v>
      </c>
      <c r="R117" s="68">
        <v>0</v>
      </c>
      <c r="S117" s="68">
        <f t="shared" si="21"/>
        <v>13484.709677419352</v>
      </c>
      <c r="T117" s="69">
        <f t="shared" si="22"/>
        <v>716.1290322580644</v>
      </c>
      <c r="U117" s="69">
        <f t="shared" si="34"/>
        <v>236</v>
      </c>
      <c r="V117" s="68">
        <v>0</v>
      </c>
      <c r="W117" s="68">
        <v>12</v>
      </c>
      <c r="X117" s="68">
        <f t="shared" si="23"/>
        <v>964.1290322580644</v>
      </c>
      <c r="Y117" s="68">
        <f t="shared" si="24"/>
        <v>12520.580645161288</v>
      </c>
      <c r="Z117" s="68"/>
      <c r="AA117" s="68">
        <f t="shared" si="25"/>
        <v>12520.580645161288</v>
      </c>
      <c r="AB117" s="69">
        <f t="shared" si="26"/>
        <v>784.75806451612902</v>
      </c>
      <c r="AC117" s="69">
        <f t="shared" si="27"/>
        <v>641</v>
      </c>
      <c r="AD117" s="70">
        <f t="shared" si="28"/>
        <v>36</v>
      </c>
      <c r="AE117" s="71">
        <f t="shared" si="29"/>
        <v>1461.758064516129</v>
      </c>
      <c r="AF117" s="71">
        <f t="shared" si="30"/>
        <v>14946.467741935481</v>
      </c>
    </row>
    <row r="118" spans="1:32" x14ac:dyDescent="0.2">
      <c r="A118" s="64" t="s">
        <v>806</v>
      </c>
      <c r="B118" s="65">
        <v>113</v>
      </c>
      <c r="C118" s="65" t="s">
        <v>512</v>
      </c>
      <c r="D118" s="64" t="s">
        <v>806</v>
      </c>
      <c r="E118" s="66" t="s">
        <v>50</v>
      </c>
      <c r="F118" s="65" t="s">
        <v>234</v>
      </c>
      <c r="G118" s="67">
        <v>42887</v>
      </c>
      <c r="H118" s="67"/>
      <c r="I118" s="65">
        <v>28</v>
      </c>
      <c r="J118" s="68">
        <f t="shared" si="33"/>
        <v>4516.1290322580644</v>
      </c>
      <c r="K118" s="68">
        <f t="shared" si="19"/>
        <v>0</v>
      </c>
      <c r="L118" s="68">
        <f t="shared" si="20"/>
        <v>225.80645161290323</v>
      </c>
      <c r="M118" s="68"/>
      <c r="N118" s="68">
        <f t="shared" si="35"/>
        <v>722.58064516129025</v>
      </c>
      <c r="O118" s="68"/>
      <c r="P118" s="68">
        <f t="shared" si="37"/>
        <v>4740.1290322580644</v>
      </c>
      <c r="Q118" s="68">
        <v>0</v>
      </c>
      <c r="R118" s="68">
        <v>0</v>
      </c>
      <c r="S118" s="68">
        <f t="shared" si="21"/>
        <v>10204.645161290322</v>
      </c>
      <c r="T118" s="69">
        <f t="shared" si="22"/>
        <v>541.93548387096769</v>
      </c>
      <c r="U118" s="69">
        <f t="shared" si="34"/>
        <v>179</v>
      </c>
      <c r="V118" s="68">
        <v>0</v>
      </c>
      <c r="W118" s="68">
        <v>12</v>
      </c>
      <c r="X118" s="68">
        <f t="shared" si="23"/>
        <v>732.93548387096769</v>
      </c>
      <c r="Y118" s="68">
        <f t="shared" si="24"/>
        <v>9471.7096774193542</v>
      </c>
      <c r="Z118" s="68"/>
      <c r="AA118" s="68">
        <f t="shared" si="25"/>
        <v>9471.7096774193542</v>
      </c>
      <c r="AB118" s="69">
        <f t="shared" si="26"/>
        <v>593.87096774193549</v>
      </c>
      <c r="AC118" s="69">
        <f t="shared" si="27"/>
        <v>485</v>
      </c>
      <c r="AD118" s="70">
        <f t="shared" si="28"/>
        <v>36</v>
      </c>
      <c r="AE118" s="71">
        <f t="shared" si="29"/>
        <v>1114.8709677419356</v>
      </c>
      <c r="AF118" s="71">
        <f t="shared" si="30"/>
        <v>11319.516129032258</v>
      </c>
    </row>
    <row r="119" spans="1:32" x14ac:dyDescent="0.2">
      <c r="A119" s="64" t="s">
        <v>807</v>
      </c>
      <c r="B119" s="65">
        <v>114</v>
      </c>
      <c r="C119" s="65" t="s">
        <v>519</v>
      </c>
      <c r="D119" s="64" t="s">
        <v>807</v>
      </c>
      <c r="E119" s="66" t="s">
        <v>50</v>
      </c>
      <c r="F119" s="65" t="s">
        <v>234</v>
      </c>
      <c r="G119" s="67">
        <v>42895</v>
      </c>
      <c r="H119" s="67"/>
      <c r="I119" s="65">
        <v>26</v>
      </c>
      <c r="J119" s="68">
        <f t="shared" si="33"/>
        <v>4193.5483870967737</v>
      </c>
      <c r="K119" s="68">
        <f t="shared" si="19"/>
        <v>0</v>
      </c>
      <c r="L119" s="68">
        <f t="shared" si="20"/>
        <v>209.67741935483869</v>
      </c>
      <c r="M119" s="68"/>
      <c r="N119" s="68">
        <f t="shared" si="35"/>
        <v>670.96774193548379</v>
      </c>
      <c r="O119" s="68"/>
      <c r="P119" s="68">
        <f t="shared" si="37"/>
        <v>4401.5483870967737</v>
      </c>
      <c r="Q119" s="68">
        <v>0</v>
      </c>
      <c r="R119" s="68">
        <v>0</v>
      </c>
      <c r="S119" s="68">
        <f t="shared" si="21"/>
        <v>9475.7419354838712</v>
      </c>
      <c r="T119" s="69">
        <f t="shared" si="22"/>
        <v>503.22580645161281</v>
      </c>
      <c r="U119" s="69">
        <f t="shared" si="34"/>
        <v>166</v>
      </c>
      <c r="V119" s="68">
        <v>0</v>
      </c>
      <c r="W119" s="68">
        <v>12</v>
      </c>
      <c r="X119" s="68">
        <f t="shared" si="23"/>
        <v>681.22580645161281</v>
      </c>
      <c r="Y119" s="68">
        <f t="shared" si="24"/>
        <v>8794.5161290322576</v>
      </c>
      <c r="Z119" s="68"/>
      <c r="AA119" s="68">
        <f t="shared" si="25"/>
        <v>8794.5161290322576</v>
      </c>
      <c r="AB119" s="69">
        <f t="shared" si="26"/>
        <v>551.45161290322574</v>
      </c>
      <c r="AC119" s="69">
        <f t="shared" si="27"/>
        <v>451</v>
      </c>
      <c r="AD119" s="70">
        <f t="shared" si="28"/>
        <v>36</v>
      </c>
      <c r="AE119" s="71">
        <f t="shared" si="29"/>
        <v>1038.4516129032259</v>
      </c>
      <c r="AF119" s="71">
        <f t="shared" si="30"/>
        <v>10514.193548387097</v>
      </c>
    </row>
    <row r="120" spans="1:32" x14ac:dyDescent="0.2">
      <c r="A120" s="64" t="s">
        <v>808</v>
      </c>
      <c r="B120" s="65">
        <v>115</v>
      </c>
      <c r="C120" s="65" t="s">
        <v>492</v>
      </c>
      <c r="D120" s="64" t="s">
        <v>808</v>
      </c>
      <c r="E120" s="66" t="s">
        <v>50</v>
      </c>
      <c r="F120" s="65" t="s">
        <v>234</v>
      </c>
      <c r="G120" s="67">
        <v>42899</v>
      </c>
      <c r="H120" s="67"/>
      <c r="I120" s="65">
        <v>36</v>
      </c>
      <c r="J120" s="68">
        <f t="shared" si="33"/>
        <v>5806.4516129032254</v>
      </c>
      <c r="K120" s="68">
        <f t="shared" si="19"/>
        <v>0</v>
      </c>
      <c r="L120" s="68">
        <f t="shared" si="20"/>
        <v>290.32258064516128</v>
      </c>
      <c r="M120" s="68"/>
      <c r="N120" s="68">
        <f t="shared" si="35"/>
        <v>929.0322580645161</v>
      </c>
      <c r="O120" s="68"/>
      <c r="P120" s="68">
        <f t="shared" si="37"/>
        <v>6094.4516129032254</v>
      </c>
      <c r="Q120" s="68">
        <v>0</v>
      </c>
      <c r="R120" s="68">
        <v>0</v>
      </c>
      <c r="S120" s="68">
        <f t="shared" si="21"/>
        <v>13120.258064516129</v>
      </c>
      <c r="T120" s="69">
        <f t="shared" si="22"/>
        <v>696.77419354838707</v>
      </c>
      <c r="U120" s="69">
        <f t="shared" si="34"/>
        <v>230</v>
      </c>
      <c r="V120" s="68">
        <v>0</v>
      </c>
      <c r="W120" s="68">
        <v>12</v>
      </c>
      <c r="X120" s="68">
        <f t="shared" si="23"/>
        <v>938.77419354838707</v>
      </c>
      <c r="Y120" s="68">
        <f t="shared" si="24"/>
        <v>12181.483870967742</v>
      </c>
      <c r="Z120" s="68"/>
      <c r="AA120" s="68">
        <f t="shared" si="25"/>
        <v>12181.483870967742</v>
      </c>
      <c r="AB120" s="69">
        <f t="shared" si="26"/>
        <v>763.54838709677415</v>
      </c>
      <c r="AC120" s="69">
        <f t="shared" si="27"/>
        <v>624</v>
      </c>
      <c r="AD120" s="70">
        <f t="shared" si="28"/>
        <v>36</v>
      </c>
      <c r="AE120" s="71">
        <f t="shared" si="29"/>
        <v>1423.5483870967741</v>
      </c>
      <c r="AF120" s="71">
        <f t="shared" si="30"/>
        <v>14543.806451612903</v>
      </c>
    </row>
    <row r="121" spans="1:32" x14ac:dyDescent="0.2">
      <c r="A121" s="64" t="s">
        <v>809</v>
      </c>
      <c r="B121" s="65">
        <v>116</v>
      </c>
      <c r="C121" s="65" t="s">
        <v>712</v>
      </c>
      <c r="D121" s="64" t="s">
        <v>809</v>
      </c>
      <c r="E121" s="66" t="s">
        <v>50</v>
      </c>
      <c r="F121" s="65" t="s">
        <v>234</v>
      </c>
      <c r="G121" s="67">
        <v>42887</v>
      </c>
      <c r="H121" s="67"/>
      <c r="I121" s="65">
        <v>33</v>
      </c>
      <c r="J121" s="68">
        <f t="shared" si="33"/>
        <v>5322.5806451612898</v>
      </c>
      <c r="K121" s="68">
        <f t="shared" si="19"/>
        <v>0</v>
      </c>
      <c r="L121" s="68">
        <f t="shared" si="20"/>
        <v>266.12903225806451</v>
      </c>
      <c r="M121" s="68"/>
      <c r="N121" s="68">
        <f t="shared" si="35"/>
        <v>851.61290322580635</v>
      </c>
      <c r="O121" s="68"/>
      <c r="P121" s="68">
        <f t="shared" si="37"/>
        <v>5586.5806451612898</v>
      </c>
      <c r="Q121" s="68">
        <v>0</v>
      </c>
      <c r="R121" s="68">
        <v>0</v>
      </c>
      <c r="S121" s="68">
        <f t="shared" si="21"/>
        <v>12026.903225806451</v>
      </c>
      <c r="T121" s="69">
        <f t="shared" si="22"/>
        <v>638.70967741935476</v>
      </c>
      <c r="U121" s="69">
        <f t="shared" si="34"/>
        <v>211</v>
      </c>
      <c r="V121" s="68">
        <v>0</v>
      </c>
      <c r="W121" s="68">
        <v>12</v>
      </c>
      <c r="X121" s="68">
        <f t="shared" si="23"/>
        <v>861.70967741935476</v>
      </c>
      <c r="Y121" s="68">
        <f t="shared" si="24"/>
        <v>11165.193548387097</v>
      </c>
      <c r="Z121" s="68"/>
      <c r="AA121" s="68">
        <f t="shared" si="25"/>
        <v>11165.193548387097</v>
      </c>
      <c r="AB121" s="69">
        <f t="shared" si="26"/>
        <v>699.91935483870964</v>
      </c>
      <c r="AC121" s="69">
        <f t="shared" si="27"/>
        <v>572</v>
      </c>
      <c r="AD121" s="70">
        <f t="shared" si="28"/>
        <v>36</v>
      </c>
      <c r="AE121" s="71">
        <f t="shared" si="29"/>
        <v>1307.9193548387098</v>
      </c>
      <c r="AF121" s="71">
        <f t="shared" si="30"/>
        <v>13334.822580645161</v>
      </c>
    </row>
    <row r="122" spans="1:32" x14ac:dyDescent="0.2">
      <c r="A122" s="64" t="s">
        <v>812</v>
      </c>
      <c r="B122" s="65">
        <v>117</v>
      </c>
      <c r="C122" s="65" t="s">
        <v>535</v>
      </c>
      <c r="D122" s="64" t="s">
        <v>812</v>
      </c>
      <c r="E122" s="66" t="s">
        <v>50</v>
      </c>
      <c r="F122" s="65" t="s">
        <v>234</v>
      </c>
      <c r="G122" s="67">
        <v>42891</v>
      </c>
      <c r="H122" s="67"/>
      <c r="I122" s="65">
        <v>5</v>
      </c>
      <c r="J122" s="68">
        <f t="shared" si="33"/>
        <v>806.45161290322574</v>
      </c>
      <c r="K122" s="68">
        <f t="shared" si="19"/>
        <v>0</v>
      </c>
      <c r="L122" s="68">
        <f t="shared" si="20"/>
        <v>40.322580645161288</v>
      </c>
      <c r="M122" s="68"/>
      <c r="N122" s="68">
        <f t="shared" si="35"/>
        <v>129.03225806451613</v>
      </c>
      <c r="O122" s="68"/>
      <c r="P122" s="68">
        <f t="shared" si="37"/>
        <v>846.45161290322574</v>
      </c>
      <c r="Q122" s="68">
        <v>0</v>
      </c>
      <c r="R122" s="68">
        <v>0</v>
      </c>
      <c r="S122" s="68">
        <f t="shared" si="21"/>
        <v>1822.2580645161288</v>
      </c>
      <c r="T122" s="69">
        <f t="shared" si="22"/>
        <v>96.774193548387089</v>
      </c>
      <c r="U122" s="69">
        <f t="shared" si="34"/>
        <v>32</v>
      </c>
      <c r="V122" s="68">
        <v>0</v>
      </c>
      <c r="W122" s="68">
        <v>12</v>
      </c>
      <c r="X122" s="68">
        <f t="shared" si="23"/>
        <v>140.77419354838707</v>
      </c>
      <c r="Y122" s="68">
        <f t="shared" si="24"/>
        <v>1681.4838709677417</v>
      </c>
      <c r="Z122" s="68"/>
      <c r="AA122" s="68">
        <f t="shared" si="25"/>
        <v>1681.4838709677417</v>
      </c>
      <c r="AB122" s="69">
        <f t="shared" si="26"/>
        <v>106.04838709677419</v>
      </c>
      <c r="AC122" s="69">
        <f t="shared" si="27"/>
        <v>87</v>
      </c>
      <c r="AD122" s="70">
        <f t="shared" si="28"/>
        <v>36</v>
      </c>
      <c r="AE122" s="71">
        <f t="shared" si="29"/>
        <v>229.04838709677421</v>
      </c>
      <c r="AF122" s="71">
        <f t="shared" si="30"/>
        <v>2051.3064516129029</v>
      </c>
    </row>
    <row r="123" spans="1:32" x14ac:dyDescent="0.2">
      <c r="A123" s="64" t="s">
        <v>817</v>
      </c>
      <c r="B123" s="65">
        <v>118</v>
      </c>
      <c r="C123" s="65" t="s">
        <v>703</v>
      </c>
      <c r="D123" s="64" t="s">
        <v>817</v>
      </c>
      <c r="E123" s="66" t="s">
        <v>50</v>
      </c>
      <c r="F123" s="65" t="s">
        <v>238</v>
      </c>
      <c r="G123" s="67">
        <v>42571</v>
      </c>
      <c r="H123" s="67"/>
      <c r="I123" s="65">
        <v>36</v>
      </c>
      <c r="J123" s="68">
        <f t="shared" si="33"/>
        <v>5806.4516129032254</v>
      </c>
      <c r="K123" s="68">
        <f t="shared" si="19"/>
        <v>0</v>
      </c>
      <c r="L123" s="68">
        <f t="shared" si="20"/>
        <v>290.32258064516128</v>
      </c>
      <c r="M123" s="68"/>
      <c r="N123" s="68">
        <f t="shared" si="35"/>
        <v>929.0322580645161</v>
      </c>
      <c r="O123" s="68"/>
      <c r="P123" s="68">
        <f>((1950+1441-178+1017+1018+1069)/I$3)*I123</f>
        <v>7335.8709677419356</v>
      </c>
      <c r="Q123" s="68">
        <v>0</v>
      </c>
      <c r="R123" s="68">
        <v>0</v>
      </c>
      <c r="S123" s="68">
        <f t="shared" si="21"/>
        <v>14361.677419354837</v>
      </c>
      <c r="T123" s="69">
        <f t="shared" si="22"/>
        <v>696.77419354838707</v>
      </c>
      <c r="U123" s="69">
        <f t="shared" si="34"/>
        <v>252</v>
      </c>
      <c r="V123" s="68">
        <v>0</v>
      </c>
      <c r="W123" s="68">
        <v>12</v>
      </c>
      <c r="X123" s="68">
        <f t="shared" si="23"/>
        <v>960.77419354838707</v>
      </c>
      <c r="Y123" s="68">
        <f t="shared" si="24"/>
        <v>13400.903225806451</v>
      </c>
      <c r="Z123" s="68"/>
      <c r="AA123" s="68">
        <f t="shared" si="25"/>
        <v>13400.903225806451</v>
      </c>
      <c r="AB123" s="69">
        <f t="shared" si="26"/>
        <v>763.54838709677415</v>
      </c>
      <c r="AC123" s="69">
        <f t="shared" si="27"/>
        <v>683</v>
      </c>
      <c r="AD123" s="70">
        <f t="shared" si="28"/>
        <v>36</v>
      </c>
      <c r="AE123" s="71">
        <f t="shared" si="29"/>
        <v>1482.5483870967741</v>
      </c>
      <c r="AF123" s="71">
        <f t="shared" si="30"/>
        <v>15844.225806451612</v>
      </c>
    </row>
    <row r="124" spans="1:32" x14ac:dyDescent="0.2">
      <c r="A124" s="64" t="s">
        <v>897</v>
      </c>
      <c r="B124" s="65">
        <v>119</v>
      </c>
      <c r="C124" s="65" t="s">
        <v>754</v>
      </c>
      <c r="D124" s="64" t="s">
        <v>897</v>
      </c>
      <c r="E124" s="66" t="s">
        <v>50</v>
      </c>
      <c r="F124" s="65" t="s">
        <v>237</v>
      </c>
      <c r="G124" s="67">
        <v>42934</v>
      </c>
      <c r="H124" s="67"/>
      <c r="I124" s="65">
        <v>33</v>
      </c>
      <c r="J124" s="68">
        <f t="shared" si="33"/>
        <v>5322.5806451612898</v>
      </c>
      <c r="K124" s="68">
        <f t="shared" si="19"/>
        <v>0</v>
      </c>
      <c r="L124" s="68">
        <f t="shared" si="20"/>
        <v>266.12903225806451</v>
      </c>
      <c r="M124" s="68"/>
      <c r="N124" s="68">
        <f t="shared" si="35"/>
        <v>851.61290322580635</v>
      </c>
      <c r="O124" s="68"/>
      <c r="P124" s="68">
        <f>((1950+1441-178+1017+509)/I$3)*I124</f>
        <v>5044.7419354838712</v>
      </c>
      <c r="Q124" s="68">
        <v>0</v>
      </c>
      <c r="R124" s="68">
        <v>0</v>
      </c>
      <c r="S124" s="68">
        <f t="shared" si="21"/>
        <v>11485.064516129032</v>
      </c>
      <c r="T124" s="69">
        <f t="shared" si="22"/>
        <v>638.70967741935476</v>
      </c>
      <c r="U124" s="69">
        <f t="shared" si="34"/>
        <v>201</v>
      </c>
      <c r="V124" s="68">
        <v>0</v>
      </c>
      <c r="W124" s="68">
        <v>12</v>
      </c>
      <c r="X124" s="68">
        <f t="shared" si="23"/>
        <v>851.70967741935476</v>
      </c>
      <c r="Y124" s="68">
        <f t="shared" si="24"/>
        <v>10633.354838709678</v>
      </c>
      <c r="Z124" s="68"/>
      <c r="AA124" s="68">
        <f t="shared" si="25"/>
        <v>10633.354838709678</v>
      </c>
      <c r="AB124" s="69">
        <f t="shared" si="26"/>
        <v>699.91935483870964</v>
      </c>
      <c r="AC124" s="69">
        <f t="shared" si="27"/>
        <v>546</v>
      </c>
      <c r="AD124" s="70">
        <f t="shared" si="28"/>
        <v>36</v>
      </c>
      <c r="AE124" s="71">
        <f t="shared" si="29"/>
        <v>1281.9193548387098</v>
      </c>
      <c r="AF124" s="71">
        <f t="shared" si="30"/>
        <v>12766.983870967742</v>
      </c>
    </row>
    <row r="125" spans="1:32" x14ac:dyDescent="0.2">
      <c r="A125" s="64" t="s">
        <v>899</v>
      </c>
      <c r="B125" s="65">
        <v>120</v>
      </c>
      <c r="C125" s="65" t="s">
        <v>756</v>
      </c>
      <c r="D125" s="64" t="s">
        <v>899</v>
      </c>
      <c r="E125" s="66" t="s">
        <v>50</v>
      </c>
      <c r="F125" s="65" t="s">
        <v>237</v>
      </c>
      <c r="G125" s="67">
        <v>42936</v>
      </c>
      <c r="H125" s="67"/>
      <c r="I125" s="65">
        <v>36</v>
      </c>
      <c r="J125" s="68">
        <f t="shared" si="33"/>
        <v>5806.4516129032254</v>
      </c>
      <c r="K125" s="68">
        <f t="shared" si="19"/>
        <v>0</v>
      </c>
      <c r="L125" s="68">
        <f t="shared" si="20"/>
        <v>290.32258064516128</v>
      </c>
      <c r="M125" s="68"/>
      <c r="N125" s="68">
        <f t="shared" si="35"/>
        <v>929.0322580645161</v>
      </c>
      <c r="O125" s="68"/>
      <c r="P125" s="68">
        <f>((5248)/I$3)*I125</f>
        <v>6094.4516129032254</v>
      </c>
      <c r="Q125" s="68">
        <v>0</v>
      </c>
      <c r="R125" s="68">
        <v>0</v>
      </c>
      <c r="S125" s="68">
        <f t="shared" si="21"/>
        <v>13120.258064516129</v>
      </c>
      <c r="T125" s="69">
        <f t="shared" si="22"/>
        <v>696.77419354838707</v>
      </c>
      <c r="U125" s="69">
        <f t="shared" si="34"/>
        <v>230</v>
      </c>
      <c r="V125" s="68">
        <v>0</v>
      </c>
      <c r="W125" s="68">
        <v>12</v>
      </c>
      <c r="X125" s="68">
        <f t="shared" si="23"/>
        <v>938.77419354838707</v>
      </c>
      <c r="Y125" s="68">
        <f t="shared" si="24"/>
        <v>12181.483870967742</v>
      </c>
      <c r="Z125" s="68"/>
      <c r="AA125" s="68">
        <f t="shared" si="25"/>
        <v>12181.483870967742</v>
      </c>
      <c r="AB125" s="69">
        <f t="shared" si="26"/>
        <v>763.54838709677415</v>
      </c>
      <c r="AC125" s="69">
        <f t="shared" si="27"/>
        <v>624</v>
      </c>
      <c r="AD125" s="70">
        <f t="shared" si="28"/>
        <v>36</v>
      </c>
      <c r="AE125" s="71">
        <f t="shared" si="29"/>
        <v>1423.5483870967741</v>
      </c>
      <c r="AF125" s="71">
        <f t="shared" si="30"/>
        <v>14543.806451612903</v>
      </c>
    </row>
    <row r="126" spans="1:32" x14ac:dyDescent="0.2">
      <c r="A126" s="64" t="s">
        <v>900</v>
      </c>
      <c r="B126" s="65">
        <v>121</v>
      </c>
      <c r="C126" s="65" t="s">
        <v>757</v>
      </c>
      <c r="D126" s="64" t="s">
        <v>900</v>
      </c>
      <c r="E126" s="66" t="s">
        <v>50</v>
      </c>
      <c r="F126" s="65" t="s">
        <v>239</v>
      </c>
      <c r="G126" s="67">
        <v>42924</v>
      </c>
      <c r="H126" s="67"/>
      <c r="I126" s="65">
        <v>12</v>
      </c>
      <c r="J126" s="68">
        <f t="shared" si="33"/>
        <v>1935.483870967742</v>
      </c>
      <c r="K126" s="68">
        <f t="shared" si="19"/>
        <v>0</v>
      </c>
      <c r="L126" s="68">
        <f t="shared" si="20"/>
        <v>96.774193548387103</v>
      </c>
      <c r="M126" s="68"/>
      <c r="N126" s="68">
        <f t="shared" si="35"/>
        <v>309.67741935483866</v>
      </c>
      <c r="O126" s="68"/>
      <c r="P126" s="68">
        <f t="shared" ref="P126:P135" si="38">((1950+1441-178+1017+0)/I$3)*I126</f>
        <v>1637.4193548387095</v>
      </c>
      <c r="Q126" s="68">
        <v>0</v>
      </c>
      <c r="R126" s="68">
        <v>0</v>
      </c>
      <c r="S126" s="68">
        <f t="shared" si="21"/>
        <v>3979.3548387096771</v>
      </c>
      <c r="T126" s="69">
        <f t="shared" si="22"/>
        <v>232.25806451612902</v>
      </c>
      <c r="U126" s="69">
        <f t="shared" si="34"/>
        <v>70</v>
      </c>
      <c r="V126" s="68">
        <v>0</v>
      </c>
      <c r="W126" s="68">
        <v>12</v>
      </c>
      <c r="X126" s="68">
        <f t="shared" si="23"/>
        <v>314.25806451612902</v>
      </c>
      <c r="Y126" s="68">
        <f t="shared" si="24"/>
        <v>3665.0967741935483</v>
      </c>
      <c r="Z126" s="68"/>
      <c r="AA126" s="68">
        <f t="shared" si="25"/>
        <v>3665.0967741935483</v>
      </c>
      <c r="AB126" s="69">
        <f t="shared" si="26"/>
        <v>254.51612903225808</v>
      </c>
      <c r="AC126" s="69">
        <f t="shared" si="27"/>
        <v>190</v>
      </c>
      <c r="AD126" s="70">
        <f t="shared" si="28"/>
        <v>36</v>
      </c>
      <c r="AE126" s="71">
        <f t="shared" si="29"/>
        <v>480.51612903225805</v>
      </c>
      <c r="AF126" s="71">
        <f t="shared" si="30"/>
        <v>4459.8709677419356</v>
      </c>
    </row>
    <row r="127" spans="1:32" x14ac:dyDescent="0.2">
      <c r="A127" s="64" t="s">
        <v>901</v>
      </c>
      <c r="B127" s="65">
        <v>122</v>
      </c>
      <c r="C127" s="65" t="s">
        <v>758</v>
      </c>
      <c r="D127" s="64" t="s">
        <v>901</v>
      </c>
      <c r="E127" s="66" t="s">
        <v>50</v>
      </c>
      <c r="F127" s="65" t="s">
        <v>239</v>
      </c>
      <c r="G127" s="67">
        <v>42944</v>
      </c>
      <c r="H127" s="67"/>
      <c r="I127" s="65">
        <v>13</v>
      </c>
      <c r="J127" s="68">
        <f t="shared" si="33"/>
        <v>2096.7741935483868</v>
      </c>
      <c r="K127" s="68">
        <f t="shared" si="19"/>
        <v>0</v>
      </c>
      <c r="L127" s="68">
        <f t="shared" si="20"/>
        <v>104.83870967741935</v>
      </c>
      <c r="M127" s="68"/>
      <c r="N127" s="68">
        <f t="shared" si="35"/>
        <v>335.48387096774189</v>
      </c>
      <c r="O127" s="68"/>
      <c r="P127" s="68">
        <f t="shared" si="38"/>
        <v>1773.8709677419354</v>
      </c>
      <c r="Q127" s="68">
        <v>0</v>
      </c>
      <c r="R127" s="68">
        <v>0</v>
      </c>
      <c r="S127" s="68">
        <f t="shared" si="21"/>
        <v>4310.9677419354839</v>
      </c>
      <c r="T127" s="69">
        <f t="shared" si="22"/>
        <v>251.61290322580641</v>
      </c>
      <c r="U127" s="69">
        <f t="shared" si="34"/>
        <v>76</v>
      </c>
      <c r="V127" s="68">
        <v>0</v>
      </c>
      <c r="W127" s="68">
        <v>12</v>
      </c>
      <c r="X127" s="68">
        <f t="shared" si="23"/>
        <v>339.61290322580641</v>
      </c>
      <c r="Y127" s="68">
        <f t="shared" si="24"/>
        <v>3971.3548387096776</v>
      </c>
      <c r="Z127" s="68"/>
      <c r="AA127" s="68">
        <f t="shared" si="25"/>
        <v>3971.3548387096776</v>
      </c>
      <c r="AB127" s="69">
        <f t="shared" si="26"/>
        <v>275.72580645161287</v>
      </c>
      <c r="AC127" s="69">
        <f t="shared" si="27"/>
        <v>205</v>
      </c>
      <c r="AD127" s="70">
        <f t="shared" si="28"/>
        <v>36</v>
      </c>
      <c r="AE127" s="71">
        <f t="shared" si="29"/>
        <v>516.72580645161293</v>
      </c>
      <c r="AF127" s="71">
        <f t="shared" si="30"/>
        <v>4827.6935483870966</v>
      </c>
    </row>
    <row r="128" spans="1:32" x14ac:dyDescent="0.2">
      <c r="A128" s="64" t="s">
        <v>902</v>
      </c>
      <c r="B128" s="65">
        <v>123</v>
      </c>
      <c r="C128" s="65" t="s">
        <v>759</v>
      </c>
      <c r="D128" s="64" t="s">
        <v>902</v>
      </c>
      <c r="E128" s="66" t="s">
        <v>50</v>
      </c>
      <c r="F128" s="65" t="s">
        <v>581</v>
      </c>
      <c r="G128" s="67">
        <v>42940</v>
      </c>
      <c r="H128" s="67"/>
      <c r="I128" s="65">
        <v>37</v>
      </c>
      <c r="J128" s="68">
        <f t="shared" si="33"/>
        <v>5967.7419354838703</v>
      </c>
      <c r="K128" s="68">
        <f t="shared" si="19"/>
        <v>0</v>
      </c>
      <c r="L128" s="68">
        <f t="shared" si="20"/>
        <v>298.38709677419354</v>
      </c>
      <c r="M128" s="68"/>
      <c r="N128" s="68">
        <f t="shared" si="35"/>
        <v>954.83870967741927</v>
      </c>
      <c r="O128" s="68"/>
      <c r="P128" s="68">
        <f t="shared" si="38"/>
        <v>5048.7096774193542</v>
      </c>
      <c r="Q128" s="68">
        <v>0</v>
      </c>
      <c r="R128" s="68">
        <v>0</v>
      </c>
      <c r="S128" s="68">
        <f t="shared" si="21"/>
        <v>12269.677419354837</v>
      </c>
      <c r="T128" s="69">
        <f t="shared" si="22"/>
        <v>716.1290322580644</v>
      </c>
      <c r="U128" s="69">
        <f t="shared" si="34"/>
        <v>215</v>
      </c>
      <c r="V128" s="68">
        <v>0</v>
      </c>
      <c r="W128" s="68">
        <v>12</v>
      </c>
      <c r="X128" s="68">
        <f t="shared" si="23"/>
        <v>943.1290322580644</v>
      </c>
      <c r="Y128" s="68">
        <f t="shared" si="24"/>
        <v>11326.548387096773</v>
      </c>
      <c r="Z128" s="68"/>
      <c r="AA128" s="68">
        <f t="shared" si="25"/>
        <v>11326.548387096773</v>
      </c>
      <c r="AB128" s="69">
        <f t="shared" si="26"/>
        <v>784.75806451612902</v>
      </c>
      <c r="AC128" s="69">
        <f t="shared" si="27"/>
        <v>583</v>
      </c>
      <c r="AD128" s="70">
        <f t="shared" si="28"/>
        <v>36</v>
      </c>
      <c r="AE128" s="71">
        <f t="shared" si="29"/>
        <v>1403.758064516129</v>
      </c>
      <c r="AF128" s="71">
        <f t="shared" si="30"/>
        <v>13673.435483870966</v>
      </c>
    </row>
    <row r="129" spans="1:32" x14ac:dyDescent="0.2">
      <c r="A129" s="64" t="s">
        <v>903</v>
      </c>
      <c r="B129" s="65">
        <v>124</v>
      </c>
      <c r="C129" s="65" t="s">
        <v>760</v>
      </c>
      <c r="D129" s="64" t="s">
        <v>903</v>
      </c>
      <c r="E129" s="66" t="s">
        <v>50</v>
      </c>
      <c r="F129" s="65" t="s">
        <v>581</v>
      </c>
      <c r="G129" s="67">
        <v>42941</v>
      </c>
      <c r="H129" s="67"/>
      <c r="I129" s="65">
        <v>37</v>
      </c>
      <c r="J129" s="68">
        <f t="shared" si="33"/>
        <v>5967.7419354838703</v>
      </c>
      <c r="K129" s="68">
        <f t="shared" si="19"/>
        <v>0</v>
      </c>
      <c r="L129" s="68">
        <f t="shared" si="20"/>
        <v>298.38709677419354</v>
      </c>
      <c r="M129" s="68"/>
      <c r="N129" s="68">
        <f t="shared" si="35"/>
        <v>954.83870967741927</v>
      </c>
      <c r="O129" s="68"/>
      <c r="P129" s="68">
        <f t="shared" si="38"/>
        <v>5048.7096774193542</v>
      </c>
      <c r="Q129" s="68">
        <v>0</v>
      </c>
      <c r="R129" s="68">
        <v>0</v>
      </c>
      <c r="S129" s="68">
        <f t="shared" si="21"/>
        <v>12269.677419354837</v>
      </c>
      <c r="T129" s="69">
        <f t="shared" si="22"/>
        <v>716.1290322580644</v>
      </c>
      <c r="U129" s="69">
        <f t="shared" si="34"/>
        <v>215</v>
      </c>
      <c r="V129" s="68">
        <v>0</v>
      </c>
      <c r="W129" s="68">
        <v>12</v>
      </c>
      <c r="X129" s="68">
        <f t="shared" si="23"/>
        <v>943.1290322580644</v>
      </c>
      <c r="Y129" s="68">
        <f t="shared" si="24"/>
        <v>11326.548387096773</v>
      </c>
      <c r="Z129" s="68"/>
      <c r="AA129" s="68">
        <f t="shared" si="25"/>
        <v>11326.548387096773</v>
      </c>
      <c r="AB129" s="69">
        <f t="shared" si="26"/>
        <v>784.75806451612902</v>
      </c>
      <c r="AC129" s="69">
        <f t="shared" si="27"/>
        <v>583</v>
      </c>
      <c r="AD129" s="70">
        <f t="shared" si="28"/>
        <v>36</v>
      </c>
      <c r="AE129" s="71">
        <f t="shared" si="29"/>
        <v>1403.758064516129</v>
      </c>
      <c r="AF129" s="71">
        <f t="shared" si="30"/>
        <v>13673.435483870966</v>
      </c>
    </row>
    <row r="130" spans="1:32" x14ac:dyDescent="0.2">
      <c r="A130" s="64" t="s">
        <v>905</v>
      </c>
      <c r="B130" s="65">
        <v>125</v>
      </c>
      <c r="C130" s="65" t="s">
        <v>762</v>
      </c>
      <c r="D130" s="64" t="s">
        <v>905</v>
      </c>
      <c r="E130" s="66" t="s">
        <v>50</v>
      </c>
      <c r="F130" s="65" t="s">
        <v>241</v>
      </c>
      <c r="G130" s="67">
        <v>42941</v>
      </c>
      <c r="H130" s="67"/>
      <c r="I130" s="65">
        <v>34</v>
      </c>
      <c r="J130" s="68">
        <f t="shared" si="33"/>
        <v>5483.8709677419356</v>
      </c>
      <c r="K130" s="68">
        <f t="shared" si="19"/>
        <v>0</v>
      </c>
      <c r="L130" s="68">
        <f t="shared" si="20"/>
        <v>274.19354838709677</v>
      </c>
      <c r="M130" s="68"/>
      <c r="N130" s="68">
        <f t="shared" si="35"/>
        <v>877.41935483870964</v>
      </c>
      <c r="O130" s="68"/>
      <c r="P130" s="68">
        <f t="shared" si="38"/>
        <v>4639.3548387096771</v>
      </c>
      <c r="Q130" s="68">
        <v>0</v>
      </c>
      <c r="R130" s="68">
        <v>0</v>
      </c>
      <c r="S130" s="68">
        <f t="shared" si="21"/>
        <v>11274.838709677419</v>
      </c>
      <c r="T130" s="69">
        <f t="shared" si="22"/>
        <v>658.0645161290322</v>
      </c>
      <c r="U130" s="69">
        <f t="shared" si="34"/>
        <v>198</v>
      </c>
      <c r="V130" s="68">
        <v>0</v>
      </c>
      <c r="W130" s="68">
        <v>12</v>
      </c>
      <c r="X130" s="68">
        <f t="shared" si="23"/>
        <v>868.0645161290322</v>
      </c>
      <c r="Y130" s="68">
        <f t="shared" si="24"/>
        <v>10406.774193548386</v>
      </c>
      <c r="Z130" s="68"/>
      <c r="AA130" s="68">
        <f t="shared" si="25"/>
        <v>10406.774193548386</v>
      </c>
      <c r="AB130" s="69">
        <f t="shared" si="26"/>
        <v>721.12903225806451</v>
      </c>
      <c r="AC130" s="69">
        <f t="shared" si="27"/>
        <v>536</v>
      </c>
      <c r="AD130" s="70">
        <f t="shared" si="28"/>
        <v>36</v>
      </c>
      <c r="AE130" s="71">
        <f t="shared" si="29"/>
        <v>1293.1290322580644</v>
      </c>
      <c r="AF130" s="71">
        <f t="shared" si="30"/>
        <v>12567.967741935483</v>
      </c>
    </row>
    <row r="131" spans="1:32" x14ac:dyDescent="0.2">
      <c r="A131" s="64" t="s">
        <v>906</v>
      </c>
      <c r="B131" s="65">
        <v>126</v>
      </c>
      <c r="C131" s="65" t="s">
        <v>542</v>
      </c>
      <c r="D131" s="64" t="s">
        <v>906</v>
      </c>
      <c r="E131" s="66" t="s">
        <v>50</v>
      </c>
      <c r="F131" s="65" t="s">
        <v>241</v>
      </c>
      <c r="G131" s="67">
        <v>42941</v>
      </c>
      <c r="H131" s="67"/>
      <c r="I131" s="65">
        <v>34</v>
      </c>
      <c r="J131" s="68">
        <f t="shared" si="33"/>
        <v>5483.8709677419356</v>
      </c>
      <c r="K131" s="68">
        <f t="shared" si="19"/>
        <v>0</v>
      </c>
      <c r="L131" s="68">
        <f t="shared" si="20"/>
        <v>274.19354838709677</v>
      </c>
      <c r="M131" s="68"/>
      <c r="N131" s="68">
        <f t="shared" si="35"/>
        <v>877.41935483870964</v>
      </c>
      <c r="O131" s="68"/>
      <c r="P131" s="68">
        <f t="shared" si="38"/>
        <v>4639.3548387096771</v>
      </c>
      <c r="Q131" s="68">
        <v>0</v>
      </c>
      <c r="R131" s="68">
        <v>0</v>
      </c>
      <c r="S131" s="68">
        <f t="shared" si="21"/>
        <v>11274.838709677419</v>
      </c>
      <c r="T131" s="69">
        <f t="shared" si="22"/>
        <v>658.0645161290322</v>
      </c>
      <c r="U131" s="69">
        <f t="shared" si="34"/>
        <v>198</v>
      </c>
      <c r="V131" s="68">
        <v>0</v>
      </c>
      <c r="W131" s="68">
        <v>12</v>
      </c>
      <c r="X131" s="68">
        <f t="shared" si="23"/>
        <v>868.0645161290322</v>
      </c>
      <c r="Y131" s="68">
        <f t="shared" si="24"/>
        <v>10406.774193548386</v>
      </c>
      <c r="Z131" s="68"/>
      <c r="AA131" s="68">
        <f t="shared" si="25"/>
        <v>10406.774193548386</v>
      </c>
      <c r="AB131" s="69">
        <f t="shared" si="26"/>
        <v>721.12903225806451</v>
      </c>
      <c r="AC131" s="69">
        <f t="shared" si="27"/>
        <v>536</v>
      </c>
      <c r="AD131" s="70">
        <f t="shared" si="28"/>
        <v>36</v>
      </c>
      <c r="AE131" s="71">
        <f t="shared" si="29"/>
        <v>1293.1290322580644</v>
      </c>
      <c r="AF131" s="71">
        <f t="shared" si="30"/>
        <v>12567.967741935483</v>
      </c>
    </row>
    <row r="132" spans="1:32" x14ac:dyDescent="0.2">
      <c r="A132" s="64" t="s">
        <v>855</v>
      </c>
      <c r="B132" s="65">
        <v>127</v>
      </c>
      <c r="C132" s="65" t="s">
        <v>713</v>
      </c>
      <c r="D132" s="64" t="s">
        <v>855</v>
      </c>
      <c r="E132" s="66" t="s">
        <v>50</v>
      </c>
      <c r="F132" s="65" t="s">
        <v>707</v>
      </c>
      <c r="G132" s="67">
        <v>42917</v>
      </c>
      <c r="H132" s="67"/>
      <c r="I132" s="65">
        <v>34</v>
      </c>
      <c r="J132" s="68">
        <f t="shared" si="33"/>
        <v>5483.8709677419356</v>
      </c>
      <c r="K132" s="68">
        <f t="shared" si="19"/>
        <v>0</v>
      </c>
      <c r="L132" s="68">
        <f t="shared" si="20"/>
        <v>274.19354838709677</v>
      </c>
      <c r="M132" s="68"/>
      <c r="N132" s="68">
        <f t="shared" si="35"/>
        <v>877.41935483870964</v>
      </c>
      <c r="O132" s="68"/>
      <c r="P132" s="68">
        <f t="shared" si="38"/>
        <v>4639.3548387096771</v>
      </c>
      <c r="Q132" s="68">
        <v>0</v>
      </c>
      <c r="R132" s="68"/>
      <c r="S132" s="68">
        <f t="shared" si="21"/>
        <v>11274.838709677419</v>
      </c>
      <c r="T132" s="69">
        <f t="shared" si="22"/>
        <v>658.0645161290322</v>
      </c>
      <c r="U132" s="69">
        <f t="shared" si="34"/>
        <v>198</v>
      </c>
      <c r="V132" s="68">
        <v>0</v>
      </c>
      <c r="W132" s="68">
        <v>12</v>
      </c>
      <c r="X132" s="68">
        <f t="shared" si="23"/>
        <v>868.0645161290322</v>
      </c>
      <c r="Y132" s="68">
        <f t="shared" si="24"/>
        <v>10406.774193548386</v>
      </c>
      <c r="Z132" s="68"/>
      <c r="AA132" s="68">
        <f t="shared" si="25"/>
        <v>10406.774193548386</v>
      </c>
      <c r="AB132" s="69">
        <f t="shared" si="26"/>
        <v>721.12903225806451</v>
      </c>
      <c r="AC132" s="69">
        <f t="shared" si="27"/>
        <v>536</v>
      </c>
      <c r="AD132" s="70">
        <f t="shared" si="28"/>
        <v>36</v>
      </c>
      <c r="AE132" s="71">
        <f t="shared" si="29"/>
        <v>1293.1290322580644</v>
      </c>
      <c r="AF132" s="71">
        <f t="shared" si="30"/>
        <v>12567.967741935483</v>
      </c>
    </row>
    <row r="133" spans="1:32" x14ac:dyDescent="0.2">
      <c r="A133" s="64" t="s">
        <v>856</v>
      </c>
      <c r="B133" s="65">
        <v>128</v>
      </c>
      <c r="C133" s="65" t="s">
        <v>370</v>
      </c>
      <c r="D133" s="64" t="s">
        <v>856</v>
      </c>
      <c r="E133" s="66" t="s">
        <v>50</v>
      </c>
      <c r="F133" s="65" t="s">
        <v>484</v>
      </c>
      <c r="G133" s="67">
        <v>42575</v>
      </c>
      <c r="H133" s="67"/>
      <c r="I133" s="65">
        <v>36</v>
      </c>
      <c r="J133" s="68">
        <f t="shared" si="33"/>
        <v>5806.4516129032254</v>
      </c>
      <c r="K133" s="68">
        <f t="shared" si="19"/>
        <v>0</v>
      </c>
      <c r="L133" s="68">
        <f t="shared" si="20"/>
        <v>290.32258064516128</v>
      </c>
      <c r="M133" s="68"/>
      <c r="N133" s="68">
        <f t="shared" si="35"/>
        <v>929.0322580645161</v>
      </c>
      <c r="O133" s="68"/>
      <c r="P133" s="68">
        <f t="shared" si="38"/>
        <v>4912.2580645161288</v>
      </c>
      <c r="Q133" s="68">
        <v>0</v>
      </c>
      <c r="R133" s="68">
        <v>0</v>
      </c>
      <c r="S133" s="68">
        <f t="shared" si="21"/>
        <v>11938.06451612903</v>
      </c>
      <c r="T133" s="69">
        <f t="shared" si="22"/>
        <v>696.77419354838707</v>
      </c>
      <c r="U133" s="69">
        <f t="shared" si="34"/>
        <v>209</v>
      </c>
      <c r="V133" s="68">
        <v>0</v>
      </c>
      <c r="W133" s="68">
        <v>12</v>
      </c>
      <c r="X133" s="68">
        <f t="shared" si="23"/>
        <v>917.77419354838707</v>
      </c>
      <c r="Y133" s="68">
        <f t="shared" si="24"/>
        <v>11020.290322580644</v>
      </c>
      <c r="Z133" s="68"/>
      <c r="AA133" s="68">
        <f t="shared" si="25"/>
        <v>11020.290322580644</v>
      </c>
      <c r="AB133" s="69">
        <f t="shared" si="26"/>
        <v>763.54838709677415</v>
      </c>
      <c r="AC133" s="69">
        <f t="shared" si="27"/>
        <v>568</v>
      </c>
      <c r="AD133" s="70">
        <f t="shared" si="28"/>
        <v>36</v>
      </c>
      <c r="AE133" s="71">
        <f t="shared" si="29"/>
        <v>1367.5483870967741</v>
      </c>
      <c r="AF133" s="71">
        <f t="shared" si="30"/>
        <v>13305.612903225805</v>
      </c>
    </row>
    <row r="134" spans="1:32" x14ac:dyDescent="0.2">
      <c r="A134" s="64" t="s">
        <v>858</v>
      </c>
      <c r="B134" s="65">
        <v>129</v>
      </c>
      <c r="C134" s="65" t="s">
        <v>715</v>
      </c>
      <c r="D134" s="64" t="s">
        <v>858</v>
      </c>
      <c r="E134" s="66" t="s">
        <v>50</v>
      </c>
      <c r="F134" s="65" t="s">
        <v>484</v>
      </c>
      <c r="G134" s="67">
        <v>42934</v>
      </c>
      <c r="H134" s="67"/>
      <c r="I134" s="65">
        <v>34</v>
      </c>
      <c r="J134" s="68">
        <f t="shared" ref="J134:J165" si="39">(5000/I$3)*I134</f>
        <v>5483.8709677419356</v>
      </c>
      <c r="K134" s="68">
        <f t="shared" ref="K134:K197" si="40">((0)/I$3)*I134</f>
        <v>0</v>
      </c>
      <c r="L134" s="68">
        <f t="shared" ref="L134:L197" si="41">(J134+K134)*5%</f>
        <v>274.19354838709677</v>
      </c>
      <c r="M134" s="68"/>
      <c r="N134" s="68">
        <f t="shared" si="35"/>
        <v>877.41935483870964</v>
      </c>
      <c r="O134" s="68"/>
      <c r="P134" s="68">
        <f t="shared" si="38"/>
        <v>4639.3548387096771</v>
      </c>
      <c r="Q134" s="68">
        <v>0</v>
      </c>
      <c r="R134" s="68">
        <v>0</v>
      </c>
      <c r="S134" s="68">
        <f t="shared" ref="S134:S197" si="42">SUM(J134:R134)</f>
        <v>11274.838709677419</v>
      </c>
      <c r="T134" s="69">
        <f t="shared" ref="T134:T197" si="43">(J134+K134)*12%</f>
        <v>658.0645161290322</v>
      </c>
      <c r="U134" s="69">
        <f t="shared" si="34"/>
        <v>198</v>
      </c>
      <c r="V134" s="68">
        <v>0</v>
      </c>
      <c r="W134" s="68">
        <v>12</v>
      </c>
      <c r="X134" s="68">
        <f t="shared" ref="X134:X197" si="44">SUM(T134:W134)</f>
        <v>868.0645161290322</v>
      </c>
      <c r="Y134" s="68">
        <f t="shared" ref="Y134:Y197" si="45">S134-X134</f>
        <v>10406.774193548386</v>
      </c>
      <c r="Z134" s="68"/>
      <c r="AA134" s="68">
        <f t="shared" ref="AA134:AA197" si="46">Y134-Z134</f>
        <v>10406.774193548386</v>
      </c>
      <c r="AB134" s="69">
        <f t="shared" ref="AB134:AB197" si="47">(J134+K134)*13.15%</f>
        <v>721.12903225806451</v>
      </c>
      <c r="AC134" s="69">
        <f t="shared" ref="AC134:AC197" si="48">CEILING((S134)*4.75%,1)</f>
        <v>536</v>
      </c>
      <c r="AD134" s="70">
        <f t="shared" ref="AD134:AD197" si="49">W134*3</f>
        <v>36</v>
      </c>
      <c r="AE134" s="71">
        <f t="shared" ref="AE134:AE197" si="50">SUM(AB134:AD134)</f>
        <v>1293.1290322580644</v>
      </c>
      <c r="AF134" s="71">
        <f t="shared" ref="AF134:AF197" si="51">S134+AE134</f>
        <v>12567.967741935483</v>
      </c>
    </row>
    <row r="135" spans="1:32" x14ac:dyDescent="0.2">
      <c r="A135" s="64" t="s">
        <v>861</v>
      </c>
      <c r="B135" s="65">
        <v>130</v>
      </c>
      <c r="C135" s="65" t="s">
        <v>718</v>
      </c>
      <c r="D135" s="64" t="s">
        <v>861</v>
      </c>
      <c r="E135" s="66" t="s">
        <v>50</v>
      </c>
      <c r="F135" s="65" t="s">
        <v>484</v>
      </c>
      <c r="G135" s="67">
        <v>42946</v>
      </c>
      <c r="H135" s="67"/>
      <c r="I135" s="65">
        <v>37</v>
      </c>
      <c r="J135" s="68">
        <f t="shared" si="39"/>
        <v>5967.7419354838703</v>
      </c>
      <c r="K135" s="68">
        <f t="shared" si="40"/>
        <v>0</v>
      </c>
      <c r="L135" s="68">
        <f t="shared" si="41"/>
        <v>298.38709677419354</v>
      </c>
      <c r="M135" s="68"/>
      <c r="N135" s="68">
        <f t="shared" si="35"/>
        <v>954.83870967741927</v>
      </c>
      <c r="O135" s="68"/>
      <c r="P135" s="68">
        <f t="shared" si="38"/>
        <v>5048.7096774193542</v>
      </c>
      <c r="Q135" s="68">
        <v>0</v>
      </c>
      <c r="R135" s="68">
        <v>0</v>
      </c>
      <c r="S135" s="68">
        <f t="shared" si="42"/>
        <v>12269.677419354837</v>
      </c>
      <c r="T135" s="69">
        <f t="shared" si="43"/>
        <v>716.1290322580644</v>
      </c>
      <c r="U135" s="69">
        <f t="shared" si="34"/>
        <v>215</v>
      </c>
      <c r="V135" s="68">
        <v>0</v>
      </c>
      <c r="W135" s="68">
        <v>12</v>
      </c>
      <c r="X135" s="68">
        <f t="shared" si="44"/>
        <v>943.1290322580644</v>
      </c>
      <c r="Y135" s="68">
        <f t="shared" si="45"/>
        <v>11326.548387096773</v>
      </c>
      <c r="Z135" s="68"/>
      <c r="AA135" s="68">
        <f t="shared" si="46"/>
        <v>11326.548387096773</v>
      </c>
      <c r="AB135" s="69">
        <f t="shared" si="47"/>
        <v>784.75806451612902</v>
      </c>
      <c r="AC135" s="69">
        <f t="shared" si="48"/>
        <v>583</v>
      </c>
      <c r="AD135" s="70">
        <f t="shared" si="49"/>
        <v>36</v>
      </c>
      <c r="AE135" s="71">
        <f t="shared" si="50"/>
        <v>1403.758064516129</v>
      </c>
      <c r="AF135" s="71">
        <f t="shared" si="51"/>
        <v>13673.435483870966</v>
      </c>
    </row>
    <row r="136" spans="1:32" x14ac:dyDescent="0.2">
      <c r="A136" s="64" t="s">
        <v>867</v>
      </c>
      <c r="B136" s="65">
        <v>131</v>
      </c>
      <c r="C136" s="65" t="s">
        <v>724</v>
      </c>
      <c r="D136" s="64" t="s">
        <v>867</v>
      </c>
      <c r="E136" s="66" t="s">
        <v>50</v>
      </c>
      <c r="F136" s="65" t="s">
        <v>234</v>
      </c>
      <c r="G136" s="67">
        <v>42922</v>
      </c>
      <c r="H136" s="67"/>
      <c r="I136" s="65">
        <v>31</v>
      </c>
      <c r="J136" s="68">
        <f t="shared" si="39"/>
        <v>5000</v>
      </c>
      <c r="K136" s="68">
        <f t="shared" si="40"/>
        <v>0</v>
      </c>
      <c r="L136" s="68">
        <f t="shared" si="41"/>
        <v>250</v>
      </c>
      <c r="M136" s="68"/>
      <c r="N136" s="68">
        <f t="shared" si="35"/>
        <v>800</v>
      </c>
      <c r="O136" s="68"/>
      <c r="P136" s="68">
        <f>((1950+1441-178+1017+1018)/I$3)*I136</f>
        <v>5248</v>
      </c>
      <c r="Q136" s="68">
        <v>0</v>
      </c>
      <c r="R136" s="68">
        <v>0</v>
      </c>
      <c r="S136" s="68">
        <f t="shared" si="42"/>
        <v>11298</v>
      </c>
      <c r="T136" s="69">
        <f t="shared" si="43"/>
        <v>600</v>
      </c>
      <c r="U136" s="69">
        <f t="shared" ref="U136:U167" si="52">ROUNDUP((S136*1.75%),0)</f>
        <v>198</v>
      </c>
      <c r="V136" s="68">
        <v>0</v>
      </c>
      <c r="W136" s="68">
        <v>12</v>
      </c>
      <c r="X136" s="68">
        <f t="shared" si="44"/>
        <v>810</v>
      </c>
      <c r="Y136" s="68">
        <f t="shared" si="45"/>
        <v>10488</v>
      </c>
      <c r="Z136" s="68"/>
      <c r="AA136" s="68">
        <f t="shared" si="46"/>
        <v>10488</v>
      </c>
      <c r="AB136" s="69">
        <f t="shared" si="47"/>
        <v>657.5</v>
      </c>
      <c r="AC136" s="69">
        <f t="shared" si="48"/>
        <v>537</v>
      </c>
      <c r="AD136" s="70">
        <f t="shared" si="49"/>
        <v>36</v>
      </c>
      <c r="AE136" s="71">
        <f t="shared" si="50"/>
        <v>1230.5</v>
      </c>
      <c r="AF136" s="71">
        <f t="shared" si="51"/>
        <v>12528.5</v>
      </c>
    </row>
    <row r="137" spans="1:32" x14ac:dyDescent="0.2">
      <c r="A137" s="64" t="s">
        <v>873</v>
      </c>
      <c r="B137" s="65">
        <v>132</v>
      </c>
      <c r="C137" s="65" t="s">
        <v>730</v>
      </c>
      <c r="D137" s="64" t="s">
        <v>873</v>
      </c>
      <c r="E137" s="66" t="s">
        <v>50</v>
      </c>
      <c r="F137" s="65" t="s">
        <v>234</v>
      </c>
      <c r="G137" s="67">
        <v>42927</v>
      </c>
      <c r="H137" s="67"/>
      <c r="I137" s="65">
        <v>36</v>
      </c>
      <c r="J137" s="68">
        <f t="shared" si="39"/>
        <v>5806.4516129032254</v>
      </c>
      <c r="K137" s="68">
        <f t="shared" si="40"/>
        <v>0</v>
      </c>
      <c r="L137" s="68">
        <f t="shared" si="41"/>
        <v>290.32258064516128</v>
      </c>
      <c r="M137" s="68"/>
      <c r="N137" s="68">
        <f t="shared" ref="N137:N172" si="53">((800)/I$3)*I137</f>
        <v>929.0322580645161</v>
      </c>
      <c r="O137" s="68"/>
      <c r="P137" s="68">
        <f>((1950+1441-178+1017+1018)/I$3)*I137</f>
        <v>6094.4516129032254</v>
      </c>
      <c r="Q137" s="68">
        <v>0</v>
      </c>
      <c r="R137" s="68">
        <v>0</v>
      </c>
      <c r="S137" s="68">
        <f t="shared" si="42"/>
        <v>13120.258064516129</v>
      </c>
      <c r="T137" s="69">
        <f t="shared" si="43"/>
        <v>696.77419354838707</v>
      </c>
      <c r="U137" s="69">
        <f t="shared" si="52"/>
        <v>230</v>
      </c>
      <c r="V137" s="68">
        <v>0</v>
      </c>
      <c r="W137" s="68">
        <v>12</v>
      </c>
      <c r="X137" s="68">
        <f t="shared" si="44"/>
        <v>938.77419354838707</v>
      </c>
      <c r="Y137" s="68">
        <f t="shared" si="45"/>
        <v>12181.483870967742</v>
      </c>
      <c r="Z137" s="68"/>
      <c r="AA137" s="68">
        <f t="shared" si="46"/>
        <v>12181.483870967742</v>
      </c>
      <c r="AB137" s="69">
        <f t="shared" si="47"/>
        <v>763.54838709677415</v>
      </c>
      <c r="AC137" s="69">
        <f t="shared" si="48"/>
        <v>624</v>
      </c>
      <c r="AD137" s="70">
        <f t="shared" si="49"/>
        <v>36</v>
      </c>
      <c r="AE137" s="71">
        <f t="shared" si="50"/>
        <v>1423.5483870967741</v>
      </c>
      <c r="AF137" s="71">
        <f t="shared" si="51"/>
        <v>14543.806451612903</v>
      </c>
    </row>
    <row r="138" spans="1:32" x14ac:dyDescent="0.2">
      <c r="A138" s="64" t="s">
        <v>874</v>
      </c>
      <c r="B138" s="65">
        <v>133</v>
      </c>
      <c r="C138" s="65" t="s">
        <v>731</v>
      </c>
      <c r="D138" s="64" t="s">
        <v>874</v>
      </c>
      <c r="E138" s="66" t="s">
        <v>50</v>
      </c>
      <c r="F138" s="65" t="s">
        <v>234</v>
      </c>
      <c r="G138" s="67">
        <v>42927</v>
      </c>
      <c r="H138" s="67"/>
      <c r="I138" s="65">
        <v>34</v>
      </c>
      <c r="J138" s="68">
        <f t="shared" si="39"/>
        <v>5483.8709677419356</v>
      </c>
      <c r="K138" s="68">
        <f t="shared" si="40"/>
        <v>0</v>
      </c>
      <c r="L138" s="68">
        <f t="shared" si="41"/>
        <v>274.19354838709677</v>
      </c>
      <c r="M138" s="68"/>
      <c r="N138" s="68">
        <f t="shared" si="53"/>
        <v>877.41935483870964</v>
      </c>
      <c r="O138" s="68"/>
      <c r="P138" s="68">
        <f>((1950+1441-178+1017+1018)/I$3)*I138</f>
        <v>5755.8709677419356</v>
      </c>
      <c r="Q138" s="68">
        <v>0</v>
      </c>
      <c r="R138" s="68">
        <v>0</v>
      </c>
      <c r="S138" s="68">
        <f t="shared" si="42"/>
        <v>12391.354838709678</v>
      </c>
      <c r="T138" s="69">
        <f t="shared" si="43"/>
        <v>658.0645161290322</v>
      </c>
      <c r="U138" s="69">
        <f t="shared" si="52"/>
        <v>217</v>
      </c>
      <c r="V138" s="68">
        <v>0</v>
      </c>
      <c r="W138" s="68">
        <v>12</v>
      </c>
      <c r="X138" s="68">
        <f t="shared" si="44"/>
        <v>887.0645161290322</v>
      </c>
      <c r="Y138" s="68">
        <f t="shared" si="45"/>
        <v>11504.290322580646</v>
      </c>
      <c r="Z138" s="68"/>
      <c r="AA138" s="68">
        <f t="shared" si="46"/>
        <v>11504.290322580646</v>
      </c>
      <c r="AB138" s="69">
        <f t="shared" si="47"/>
        <v>721.12903225806451</v>
      </c>
      <c r="AC138" s="69">
        <f t="shared" si="48"/>
        <v>589</v>
      </c>
      <c r="AD138" s="70">
        <f t="shared" si="49"/>
        <v>36</v>
      </c>
      <c r="AE138" s="71">
        <f t="shared" si="50"/>
        <v>1346.1290322580644</v>
      </c>
      <c r="AF138" s="71">
        <f t="shared" si="51"/>
        <v>13737.483870967742</v>
      </c>
    </row>
    <row r="139" spans="1:32" x14ac:dyDescent="0.2">
      <c r="A139" s="64" t="s">
        <v>879</v>
      </c>
      <c r="B139" s="65">
        <v>134</v>
      </c>
      <c r="C139" s="65" t="s">
        <v>736</v>
      </c>
      <c r="D139" s="64" t="s">
        <v>879</v>
      </c>
      <c r="E139" s="66" t="s">
        <v>50</v>
      </c>
      <c r="F139" s="65" t="s">
        <v>234</v>
      </c>
      <c r="G139" s="67">
        <v>42931</v>
      </c>
      <c r="H139" s="67"/>
      <c r="I139" s="65">
        <v>35</v>
      </c>
      <c r="J139" s="68">
        <f t="shared" si="39"/>
        <v>5645.1612903225805</v>
      </c>
      <c r="K139" s="68">
        <f t="shared" si="40"/>
        <v>0</v>
      </c>
      <c r="L139" s="68">
        <f t="shared" si="41"/>
        <v>282.25806451612902</v>
      </c>
      <c r="M139" s="68"/>
      <c r="N139" s="68">
        <f t="shared" si="53"/>
        <v>903.22580645161281</v>
      </c>
      <c r="O139" s="68"/>
      <c r="P139" s="68">
        <f>((1950+1441-178+1017+1018)/I$3)*I139</f>
        <v>5925.1612903225805</v>
      </c>
      <c r="Q139" s="68">
        <v>0</v>
      </c>
      <c r="R139" s="68">
        <v>0</v>
      </c>
      <c r="S139" s="68">
        <f t="shared" si="42"/>
        <v>12755.806451612902</v>
      </c>
      <c r="T139" s="69">
        <f t="shared" si="43"/>
        <v>677.41935483870964</v>
      </c>
      <c r="U139" s="69">
        <f t="shared" si="52"/>
        <v>224</v>
      </c>
      <c r="V139" s="68">
        <v>0</v>
      </c>
      <c r="W139" s="68">
        <v>12</v>
      </c>
      <c r="X139" s="68">
        <f t="shared" si="44"/>
        <v>913.41935483870964</v>
      </c>
      <c r="Y139" s="68">
        <f t="shared" si="45"/>
        <v>11842.387096774191</v>
      </c>
      <c r="Z139" s="68"/>
      <c r="AA139" s="68">
        <f t="shared" si="46"/>
        <v>11842.387096774191</v>
      </c>
      <c r="AB139" s="69">
        <f t="shared" si="47"/>
        <v>742.33870967741939</v>
      </c>
      <c r="AC139" s="69">
        <f t="shared" si="48"/>
        <v>606</v>
      </c>
      <c r="AD139" s="70">
        <f t="shared" si="49"/>
        <v>36</v>
      </c>
      <c r="AE139" s="71">
        <f t="shared" si="50"/>
        <v>1384.3387096774195</v>
      </c>
      <c r="AF139" s="71">
        <f t="shared" si="51"/>
        <v>14140.145161290322</v>
      </c>
    </row>
    <row r="140" spans="1:32" x14ac:dyDescent="0.2">
      <c r="A140" s="64" t="s">
        <v>881</v>
      </c>
      <c r="B140" s="65">
        <v>135</v>
      </c>
      <c r="C140" s="65" t="s">
        <v>738</v>
      </c>
      <c r="D140" s="64" t="s">
        <v>881</v>
      </c>
      <c r="E140" s="66" t="s">
        <v>50</v>
      </c>
      <c r="F140" s="65" t="s">
        <v>234</v>
      </c>
      <c r="G140" s="67">
        <v>42931</v>
      </c>
      <c r="H140" s="67"/>
      <c r="I140" s="65">
        <v>36</v>
      </c>
      <c r="J140" s="68">
        <f t="shared" si="39"/>
        <v>5806.4516129032254</v>
      </c>
      <c r="K140" s="68">
        <f t="shared" si="40"/>
        <v>0</v>
      </c>
      <c r="L140" s="68">
        <f t="shared" si="41"/>
        <v>290.32258064516128</v>
      </c>
      <c r="M140" s="68"/>
      <c r="N140" s="68">
        <f t="shared" si="53"/>
        <v>929.0322580645161</v>
      </c>
      <c r="O140" s="68"/>
      <c r="P140" s="68">
        <f>((1950+1441-178+1017+1018)/I$3)*I140</f>
        <v>6094.4516129032254</v>
      </c>
      <c r="Q140" s="68">
        <v>0</v>
      </c>
      <c r="R140" s="68">
        <v>0</v>
      </c>
      <c r="S140" s="68">
        <f t="shared" si="42"/>
        <v>13120.258064516129</v>
      </c>
      <c r="T140" s="69">
        <f t="shared" si="43"/>
        <v>696.77419354838707</v>
      </c>
      <c r="U140" s="69">
        <f t="shared" si="52"/>
        <v>230</v>
      </c>
      <c r="V140" s="68">
        <v>0</v>
      </c>
      <c r="W140" s="68">
        <v>12</v>
      </c>
      <c r="X140" s="68">
        <f t="shared" si="44"/>
        <v>938.77419354838707</v>
      </c>
      <c r="Y140" s="68">
        <f t="shared" si="45"/>
        <v>12181.483870967742</v>
      </c>
      <c r="Z140" s="68"/>
      <c r="AA140" s="68">
        <f t="shared" si="46"/>
        <v>12181.483870967742</v>
      </c>
      <c r="AB140" s="69">
        <f t="shared" si="47"/>
        <v>763.54838709677415</v>
      </c>
      <c r="AC140" s="69">
        <f t="shared" si="48"/>
        <v>624</v>
      </c>
      <c r="AD140" s="70">
        <f t="shared" si="49"/>
        <v>36</v>
      </c>
      <c r="AE140" s="71">
        <f t="shared" si="50"/>
        <v>1423.5483870967741</v>
      </c>
      <c r="AF140" s="71">
        <f t="shared" si="51"/>
        <v>14543.806451612903</v>
      </c>
    </row>
    <row r="141" spans="1:32" x14ac:dyDescent="0.2">
      <c r="A141" s="64" t="s">
        <v>882</v>
      </c>
      <c r="B141" s="65">
        <v>136</v>
      </c>
      <c r="C141" s="65" t="s">
        <v>739</v>
      </c>
      <c r="D141" s="64" t="s">
        <v>882</v>
      </c>
      <c r="E141" s="66" t="s">
        <v>50</v>
      </c>
      <c r="F141" s="65" t="s">
        <v>242</v>
      </c>
      <c r="G141" s="67">
        <v>42931</v>
      </c>
      <c r="H141" s="67"/>
      <c r="I141" s="65">
        <v>35</v>
      </c>
      <c r="J141" s="68">
        <f t="shared" si="39"/>
        <v>5645.1612903225805</v>
      </c>
      <c r="K141" s="68">
        <f t="shared" si="40"/>
        <v>0</v>
      </c>
      <c r="L141" s="68">
        <f t="shared" si="41"/>
        <v>282.25806451612902</v>
      </c>
      <c r="M141" s="68"/>
      <c r="N141" s="68">
        <f t="shared" si="53"/>
        <v>903.22580645161281</v>
      </c>
      <c r="O141" s="68"/>
      <c r="P141" s="68">
        <f>((1950+1441-178+1017+0)/I$3)*I141</f>
        <v>4775.8064516129025</v>
      </c>
      <c r="Q141" s="68">
        <v>0</v>
      </c>
      <c r="R141" s="68">
        <v>0</v>
      </c>
      <c r="S141" s="68">
        <f t="shared" si="42"/>
        <v>11606.451612903224</v>
      </c>
      <c r="T141" s="69">
        <f t="shared" si="43"/>
        <v>677.41935483870964</v>
      </c>
      <c r="U141" s="69">
        <f t="shared" si="52"/>
        <v>204</v>
      </c>
      <c r="V141" s="68">
        <v>0</v>
      </c>
      <c r="W141" s="68">
        <v>12</v>
      </c>
      <c r="X141" s="68">
        <f t="shared" si="44"/>
        <v>893.41935483870964</v>
      </c>
      <c r="Y141" s="68">
        <f t="shared" si="45"/>
        <v>10713.032258064513</v>
      </c>
      <c r="Z141" s="68"/>
      <c r="AA141" s="68">
        <f t="shared" si="46"/>
        <v>10713.032258064513</v>
      </c>
      <c r="AB141" s="69">
        <f t="shared" si="47"/>
        <v>742.33870967741939</v>
      </c>
      <c r="AC141" s="69">
        <f t="shared" si="48"/>
        <v>552</v>
      </c>
      <c r="AD141" s="70">
        <f t="shared" si="49"/>
        <v>36</v>
      </c>
      <c r="AE141" s="71">
        <f t="shared" si="50"/>
        <v>1330.3387096774195</v>
      </c>
      <c r="AF141" s="71">
        <f t="shared" si="51"/>
        <v>12936.790322580644</v>
      </c>
    </row>
    <row r="142" spans="1:32" x14ac:dyDescent="0.2">
      <c r="A142" s="64" t="s">
        <v>883</v>
      </c>
      <c r="B142" s="65">
        <v>137</v>
      </c>
      <c r="C142" s="65" t="s">
        <v>1459</v>
      </c>
      <c r="D142" s="64" t="s">
        <v>883</v>
      </c>
      <c r="E142" s="66" t="s">
        <v>50</v>
      </c>
      <c r="F142" s="65" t="s">
        <v>234</v>
      </c>
      <c r="G142" s="67">
        <v>43074</v>
      </c>
      <c r="H142" s="67"/>
      <c r="I142" s="65">
        <v>30</v>
      </c>
      <c r="J142" s="68">
        <f t="shared" si="39"/>
        <v>4838.7096774193542</v>
      </c>
      <c r="K142" s="68">
        <f t="shared" si="40"/>
        <v>0</v>
      </c>
      <c r="L142" s="68">
        <f t="shared" si="41"/>
        <v>241.93548387096772</v>
      </c>
      <c r="M142" s="68"/>
      <c r="N142" s="68">
        <f t="shared" si="53"/>
        <v>774.19354838709671</v>
      </c>
      <c r="O142" s="68"/>
      <c r="P142" s="68">
        <f>((5248)/I$3)*I142</f>
        <v>5078.7096774193542</v>
      </c>
      <c r="Q142" s="68">
        <v>0</v>
      </c>
      <c r="R142" s="68">
        <v>0</v>
      </c>
      <c r="S142" s="68">
        <f t="shared" si="42"/>
        <v>10933.548387096773</v>
      </c>
      <c r="T142" s="69">
        <f t="shared" si="43"/>
        <v>580.64516129032245</v>
      </c>
      <c r="U142" s="69">
        <f t="shared" si="52"/>
        <v>192</v>
      </c>
      <c r="V142" s="68">
        <v>0</v>
      </c>
      <c r="W142" s="68">
        <v>12</v>
      </c>
      <c r="X142" s="68">
        <f t="shared" si="44"/>
        <v>784.64516129032245</v>
      </c>
      <c r="Y142" s="68">
        <f t="shared" si="45"/>
        <v>10148.903225806451</v>
      </c>
      <c r="Z142" s="68"/>
      <c r="AA142" s="68">
        <f t="shared" si="46"/>
        <v>10148.903225806451</v>
      </c>
      <c r="AB142" s="69">
        <f t="shared" si="47"/>
        <v>636.29032258064512</v>
      </c>
      <c r="AC142" s="69">
        <f t="shared" si="48"/>
        <v>520</v>
      </c>
      <c r="AD142" s="70">
        <f t="shared" si="49"/>
        <v>36</v>
      </c>
      <c r="AE142" s="71">
        <f t="shared" si="50"/>
        <v>1192.2903225806451</v>
      </c>
      <c r="AF142" s="71">
        <f t="shared" si="51"/>
        <v>12125.838709677419</v>
      </c>
    </row>
    <row r="143" spans="1:32" x14ac:dyDescent="0.2">
      <c r="A143" s="64" t="s">
        <v>894</v>
      </c>
      <c r="B143" s="65">
        <v>138</v>
      </c>
      <c r="C143" s="65" t="s">
        <v>751</v>
      </c>
      <c r="D143" s="64" t="s">
        <v>894</v>
      </c>
      <c r="E143" s="66" t="s">
        <v>50</v>
      </c>
      <c r="F143" s="65" t="s">
        <v>234</v>
      </c>
      <c r="G143" s="67">
        <v>42934</v>
      </c>
      <c r="H143" s="67"/>
      <c r="I143" s="65">
        <v>10</v>
      </c>
      <c r="J143" s="68">
        <f t="shared" si="39"/>
        <v>1612.9032258064515</v>
      </c>
      <c r="K143" s="68">
        <f t="shared" si="40"/>
        <v>0</v>
      </c>
      <c r="L143" s="68">
        <f t="shared" si="41"/>
        <v>80.645161290322577</v>
      </c>
      <c r="M143" s="68"/>
      <c r="N143" s="68">
        <f t="shared" si="53"/>
        <v>258.06451612903226</v>
      </c>
      <c r="O143" s="68"/>
      <c r="P143" s="68">
        <f>((1950+1441-178+1017+1018)/I$3)*I143</f>
        <v>1692.9032258064515</v>
      </c>
      <c r="Q143" s="68">
        <v>0</v>
      </c>
      <c r="R143" s="68">
        <v>0</v>
      </c>
      <c r="S143" s="68">
        <f t="shared" si="42"/>
        <v>3644.5161290322576</v>
      </c>
      <c r="T143" s="69">
        <f t="shared" si="43"/>
        <v>193.54838709677418</v>
      </c>
      <c r="U143" s="69">
        <f t="shared" si="52"/>
        <v>64</v>
      </c>
      <c r="V143" s="68">
        <v>0</v>
      </c>
      <c r="W143" s="68">
        <v>12</v>
      </c>
      <c r="X143" s="68">
        <f t="shared" si="44"/>
        <v>269.54838709677415</v>
      </c>
      <c r="Y143" s="68">
        <f t="shared" si="45"/>
        <v>3374.9677419354834</v>
      </c>
      <c r="Z143" s="68"/>
      <c r="AA143" s="68">
        <f t="shared" si="46"/>
        <v>3374.9677419354834</v>
      </c>
      <c r="AB143" s="69">
        <f t="shared" si="47"/>
        <v>212.09677419354838</v>
      </c>
      <c r="AC143" s="69">
        <f t="shared" si="48"/>
        <v>174</v>
      </c>
      <c r="AD143" s="70">
        <f t="shared" si="49"/>
        <v>36</v>
      </c>
      <c r="AE143" s="71">
        <f t="shared" si="50"/>
        <v>422.09677419354841</v>
      </c>
      <c r="AF143" s="71">
        <f t="shared" si="51"/>
        <v>4066.6129032258059</v>
      </c>
    </row>
    <row r="144" spans="1:32" x14ac:dyDescent="0.2">
      <c r="A144" s="64" t="s">
        <v>896</v>
      </c>
      <c r="B144" s="65">
        <v>139</v>
      </c>
      <c r="C144" s="65" t="s">
        <v>753</v>
      </c>
      <c r="D144" s="64" t="s">
        <v>896</v>
      </c>
      <c r="E144" s="66" t="s">
        <v>50</v>
      </c>
      <c r="F144" s="65" t="s">
        <v>234</v>
      </c>
      <c r="G144" s="67">
        <v>42941</v>
      </c>
      <c r="H144" s="67"/>
      <c r="I144" s="65">
        <v>31</v>
      </c>
      <c r="J144" s="68">
        <f t="shared" si="39"/>
        <v>5000</v>
      </c>
      <c r="K144" s="68">
        <f t="shared" si="40"/>
        <v>0</v>
      </c>
      <c r="L144" s="68">
        <f t="shared" si="41"/>
        <v>250</v>
      </c>
      <c r="M144" s="68"/>
      <c r="N144" s="68">
        <f t="shared" si="53"/>
        <v>800</v>
      </c>
      <c r="O144" s="68"/>
      <c r="P144" s="68">
        <f>((1950+1441-178+1017+1018)/I$3)*I144</f>
        <v>5248</v>
      </c>
      <c r="Q144" s="68">
        <v>0</v>
      </c>
      <c r="R144" s="68">
        <v>0</v>
      </c>
      <c r="S144" s="68">
        <f t="shared" si="42"/>
        <v>11298</v>
      </c>
      <c r="T144" s="69">
        <f t="shared" si="43"/>
        <v>600</v>
      </c>
      <c r="U144" s="69">
        <f t="shared" si="52"/>
        <v>198</v>
      </c>
      <c r="V144" s="68">
        <v>0</v>
      </c>
      <c r="W144" s="68">
        <v>12</v>
      </c>
      <c r="X144" s="68">
        <f t="shared" si="44"/>
        <v>810</v>
      </c>
      <c r="Y144" s="68">
        <f t="shared" si="45"/>
        <v>10488</v>
      </c>
      <c r="Z144" s="68"/>
      <c r="AA144" s="68">
        <f t="shared" si="46"/>
        <v>10488</v>
      </c>
      <c r="AB144" s="69">
        <f t="shared" si="47"/>
        <v>657.5</v>
      </c>
      <c r="AC144" s="69">
        <f t="shared" si="48"/>
        <v>537</v>
      </c>
      <c r="AD144" s="70">
        <f t="shared" si="49"/>
        <v>36</v>
      </c>
      <c r="AE144" s="71">
        <f t="shared" si="50"/>
        <v>1230.5</v>
      </c>
      <c r="AF144" s="71">
        <f t="shared" si="51"/>
        <v>12528.5</v>
      </c>
    </row>
    <row r="145" spans="1:32" x14ac:dyDescent="0.2">
      <c r="A145" s="64" t="s">
        <v>1122</v>
      </c>
      <c r="B145" s="65">
        <v>140</v>
      </c>
      <c r="C145" s="65" t="s">
        <v>986</v>
      </c>
      <c r="D145" s="64" t="s">
        <v>1122</v>
      </c>
      <c r="E145" s="66" t="s">
        <v>50</v>
      </c>
      <c r="F145" s="66" t="s">
        <v>237</v>
      </c>
      <c r="G145" s="67">
        <v>42956</v>
      </c>
      <c r="H145" s="67"/>
      <c r="I145" s="65">
        <v>37</v>
      </c>
      <c r="J145" s="68">
        <f t="shared" si="39"/>
        <v>5967.7419354838703</v>
      </c>
      <c r="K145" s="68">
        <f t="shared" si="40"/>
        <v>0</v>
      </c>
      <c r="L145" s="68">
        <f t="shared" si="41"/>
        <v>298.38709677419354</v>
      </c>
      <c r="M145" s="68"/>
      <c r="N145" s="68">
        <f t="shared" si="53"/>
        <v>954.83870967741927</v>
      </c>
      <c r="O145" s="68"/>
      <c r="P145" s="68">
        <f>((5248)/I$3)*I145</f>
        <v>6263.7419354838703</v>
      </c>
      <c r="Q145" s="68">
        <v>0</v>
      </c>
      <c r="R145" s="68">
        <v>0</v>
      </c>
      <c r="S145" s="68">
        <f t="shared" si="42"/>
        <v>13484.709677419352</v>
      </c>
      <c r="T145" s="69">
        <f t="shared" si="43"/>
        <v>716.1290322580644</v>
      </c>
      <c r="U145" s="69">
        <f t="shared" si="52"/>
        <v>236</v>
      </c>
      <c r="V145" s="68">
        <v>0</v>
      </c>
      <c r="W145" s="68">
        <v>12</v>
      </c>
      <c r="X145" s="68">
        <f t="shared" si="44"/>
        <v>964.1290322580644</v>
      </c>
      <c r="Y145" s="68">
        <f t="shared" si="45"/>
        <v>12520.580645161288</v>
      </c>
      <c r="Z145" s="68"/>
      <c r="AA145" s="68">
        <f t="shared" si="46"/>
        <v>12520.580645161288</v>
      </c>
      <c r="AB145" s="69">
        <f t="shared" si="47"/>
        <v>784.75806451612902</v>
      </c>
      <c r="AC145" s="69">
        <f t="shared" si="48"/>
        <v>641</v>
      </c>
      <c r="AD145" s="70">
        <f t="shared" si="49"/>
        <v>36</v>
      </c>
      <c r="AE145" s="71">
        <f t="shared" si="50"/>
        <v>1461.758064516129</v>
      </c>
      <c r="AF145" s="71">
        <f t="shared" si="51"/>
        <v>14946.467741935481</v>
      </c>
    </row>
    <row r="146" spans="1:32" x14ac:dyDescent="0.2">
      <c r="A146" s="64" t="s">
        <v>1123</v>
      </c>
      <c r="B146" s="65">
        <v>141</v>
      </c>
      <c r="C146" s="65" t="s">
        <v>987</v>
      </c>
      <c r="D146" s="64" t="s">
        <v>1123</v>
      </c>
      <c r="E146" s="66" t="s">
        <v>50</v>
      </c>
      <c r="F146" s="66" t="s">
        <v>237</v>
      </c>
      <c r="G146" s="67">
        <v>42960</v>
      </c>
      <c r="H146" s="67"/>
      <c r="I146" s="65">
        <v>35</v>
      </c>
      <c r="J146" s="68">
        <f t="shared" si="39"/>
        <v>5645.1612903225805</v>
      </c>
      <c r="K146" s="68">
        <f t="shared" si="40"/>
        <v>0</v>
      </c>
      <c r="L146" s="68">
        <f t="shared" si="41"/>
        <v>282.25806451612902</v>
      </c>
      <c r="M146" s="68"/>
      <c r="N146" s="68">
        <f t="shared" si="53"/>
        <v>903.22580645161281</v>
      </c>
      <c r="O146" s="68"/>
      <c r="P146" s="68">
        <f>((5248)/I$3)*I146</f>
        <v>5925.1612903225805</v>
      </c>
      <c r="Q146" s="68">
        <v>0</v>
      </c>
      <c r="R146" s="68">
        <v>0</v>
      </c>
      <c r="S146" s="68">
        <f t="shared" si="42"/>
        <v>12755.806451612902</v>
      </c>
      <c r="T146" s="69">
        <f t="shared" si="43"/>
        <v>677.41935483870964</v>
      </c>
      <c r="U146" s="69">
        <f t="shared" si="52"/>
        <v>224</v>
      </c>
      <c r="V146" s="68">
        <v>0</v>
      </c>
      <c r="W146" s="68">
        <v>12</v>
      </c>
      <c r="X146" s="68">
        <f t="shared" si="44"/>
        <v>913.41935483870964</v>
      </c>
      <c r="Y146" s="68">
        <f t="shared" si="45"/>
        <v>11842.387096774191</v>
      </c>
      <c r="Z146" s="68"/>
      <c r="AA146" s="68">
        <f t="shared" si="46"/>
        <v>11842.387096774191</v>
      </c>
      <c r="AB146" s="69">
        <f t="shared" si="47"/>
        <v>742.33870967741939</v>
      </c>
      <c r="AC146" s="69">
        <f t="shared" si="48"/>
        <v>606</v>
      </c>
      <c r="AD146" s="70">
        <f t="shared" si="49"/>
        <v>36</v>
      </c>
      <c r="AE146" s="71">
        <f t="shared" si="50"/>
        <v>1384.3387096774195</v>
      </c>
      <c r="AF146" s="71">
        <f t="shared" si="51"/>
        <v>14140.145161290322</v>
      </c>
    </row>
    <row r="147" spans="1:32" x14ac:dyDescent="0.2">
      <c r="A147" s="64" t="s">
        <v>1120</v>
      </c>
      <c r="B147" s="65">
        <v>142</v>
      </c>
      <c r="C147" s="65" t="s">
        <v>984</v>
      </c>
      <c r="D147" s="64" t="s">
        <v>1120</v>
      </c>
      <c r="E147" s="66" t="s">
        <v>50</v>
      </c>
      <c r="F147" s="66" t="s">
        <v>242</v>
      </c>
      <c r="G147" s="67">
        <v>42960</v>
      </c>
      <c r="H147" s="67"/>
      <c r="I147" s="65">
        <v>37</v>
      </c>
      <c r="J147" s="68">
        <f t="shared" si="39"/>
        <v>5967.7419354838703</v>
      </c>
      <c r="K147" s="68">
        <f t="shared" si="40"/>
        <v>0</v>
      </c>
      <c r="L147" s="68">
        <f t="shared" si="41"/>
        <v>298.38709677419354</v>
      </c>
      <c r="M147" s="68"/>
      <c r="N147" s="68">
        <f t="shared" si="53"/>
        <v>954.83870967741927</v>
      </c>
      <c r="O147" s="68"/>
      <c r="P147" s="68">
        <f>((4230)/I$3)*I147</f>
        <v>5048.7096774193542</v>
      </c>
      <c r="Q147" s="68">
        <v>0</v>
      </c>
      <c r="R147" s="68">
        <v>0</v>
      </c>
      <c r="S147" s="68">
        <f t="shared" si="42"/>
        <v>12269.677419354837</v>
      </c>
      <c r="T147" s="69">
        <f t="shared" si="43"/>
        <v>716.1290322580644</v>
      </c>
      <c r="U147" s="69">
        <f t="shared" si="52"/>
        <v>215</v>
      </c>
      <c r="V147" s="68">
        <v>0</v>
      </c>
      <c r="W147" s="68">
        <v>12</v>
      </c>
      <c r="X147" s="68">
        <f t="shared" si="44"/>
        <v>943.1290322580644</v>
      </c>
      <c r="Y147" s="68">
        <f t="shared" si="45"/>
        <v>11326.548387096773</v>
      </c>
      <c r="Z147" s="68"/>
      <c r="AA147" s="68">
        <f t="shared" si="46"/>
        <v>11326.548387096773</v>
      </c>
      <c r="AB147" s="69">
        <f t="shared" si="47"/>
        <v>784.75806451612902</v>
      </c>
      <c r="AC147" s="69">
        <f t="shared" si="48"/>
        <v>583</v>
      </c>
      <c r="AD147" s="70">
        <f t="shared" si="49"/>
        <v>36</v>
      </c>
      <c r="AE147" s="71">
        <f t="shared" si="50"/>
        <v>1403.758064516129</v>
      </c>
      <c r="AF147" s="71">
        <f t="shared" si="51"/>
        <v>13673.435483870966</v>
      </c>
    </row>
    <row r="148" spans="1:32" x14ac:dyDescent="0.2">
      <c r="A148" s="64" t="s">
        <v>1121</v>
      </c>
      <c r="B148" s="65">
        <v>143</v>
      </c>
      <c r="C148" s="65" t="s">
        <v>985</v>
      </c>
      <c r="D148" s="64" t="s">
        <v>1121</v>
      </c>
      <c r="E148" s="66" t="s">
        <v>50</v>
      </c>
      <c r="F148" s="66" t="s">
        <v>484</v>
      </c>
      <c r="G148" s="67">
        <v>42957</v>
      </c>
      <c r="H148" s="67"/>
      <c r="I148" s="65">
        <v>33</v>
      </c>
      <c r="J148" s="68">
        <f t="shared" si="39"/>
        <v>5322.5806451612898</v>
      </c>
      <c r="K148" s="68">
        <f t="shared" si="40"/>
        <v>0</v>
      </c>
      <c r="L148" s="68">
        <f t="shared" si="41"/>
        <v>266.12903225806451</v>
      </c>
      <c r="M148" s="68"/>
      <c r="N148" s="68">
        <f t="shared" si="53"/>
        <v>851.61290322580635</v>
      </c>
      <c r="O148" s="68"/>
      <c r="P148" s="68">
        <f>((4230)/I$3)*I148</f>
        <v>4502.9032258064508</v>
      </c>
      <c r="Q148" s="68">
        <v>0</v>
      </c>
      <c r="R148" s="68">
        <v>0</v>
      </c>
      <c r="S148" s="68">
        <f t="shared" si="42"/>
        <v>10943.225806451612</v>
      </c>
      <c r="T148" s="69">
        <f t="shared" si="43"/>
        <v>638.70967741935476</v>
      </c>
      <c r="U148" s="69">
        <f t="shared" si="52"/>
        <v>192</v>
      </c>
      <c r="V148" s="68">
        <v>0</v>
      </c>
      <c r="W148" s="68">
        <v>12</v>
      </c>
      <c r="X148" s="68">
        <f t="shared" si="44"/>
        <v>842.70967741935476</v>
      </c>
      <c r="Y148" s="68">
        <f t="shared" si="45"/>
        <v>10100.516129032258</v>
      </c>
      <c r="Z148" s="68"/>
      <c r="AA148" s="68">
        <f t="shared" si="46"/>
        <v>10100.516129032258</v>
      </c>
      <c r="AB148" s="69">
        <f t="shared" si="47"/>
        <v>699.91935483870964</v>
      </c>
      <c r="AC148" s="69">
        <f t="shared" si="48"/>
        <v>520</v>
      </c>
      <c r="AD148" s="70">
        <f t="shared" si="49"/>
        <v>36</v>
      </c>
      <c r="AE148" s="71">
        <f t="shared" si="50"/>
        <v>1255.9193548387098</v>
      </c>
      <c r="AF148" s="71">
        <f t="shared" si="51"/>
        <v>12199.145161290322</v>
      </c>
    </row>
    <row r="149" spans="1:32" x14ac:dyDescent="0.2">
      <c r="A149" s="64" t="s">
        <v>1114</v>
      </c>
      <c r="B149" s="65">
        <v>144</v>
      </c>
      <c r="C149" s="65" t="s">
        <v>969</v>
      </c>
      <c r="D149" s="64" t="s">
        <v>1114</v>
      </c>
      <c r="E149" s="66" t="s">
        <v>50</v>
      </c>
      <c r="F149" s="66" t="s">
        <v>238</v>
      </c>
      <c r="G149" s="67">
        <v>42948</v>
      </c>
      <c r="H149" s="67"/>
      <c r="I149" s="65">
        <v>37</v>
      </c>
      <c r="J149" s="68">
        <f t="shared" si="39"/>
        <v>5967.7419354838703</v>
      </c>
      <c r="K149" s="68">
        <f t="shared" si="40"/>
        <v>0</v>
      </c>
      <c r="L149" s="68">
        <f t="shared" si="41"/>
        <v>298.38709677419354</v>
      </c>
      <c r="M149" s="68"/>
      <c r="N149" s="68">
        <f t="shared" si="53"/>
        <v>954.83870967741927</v>
      </c>
      <c r="O149" s="68"/>
      <c r="P149" s="68">
        <f>((5248)/I$3)*I149</f>
        <v>6263.7419354838703</v>
      </c>
      <c r="Q149" s="68">
        <v>0</v>
      </c>
      <c r="R149" s="68">
        <v>0</v>
      </c>
      <c r="S149" s="68">
        <f t="shared" si="42"/>
        <v>13484.709677419352</v>
      </c>
      <c r="T149" s="69">
        <f t="shared" si="43"/>
        <v>716.1290322580644</v>
      </c>
      <c r="U149" s="69">
        <f t="shared" si="52"/>
        <v>236</v>
      </c>
      <c r="V149" s="68">
        <v>0</v>
      </c>
      <c r="W149" s="68">
        <v>12</v>
      </c>
      <c r="X149" s="68">
        <f t="shared" si="44"/>
        <v>964.1290322580644</v>
      </c>
      <c r="Y149" s="68">
        <f t="shared" si="45"/>
        <v>12520.580645161288</v>
      </c>
      <c r="Z149" s="68"/>
      <c r="AA149" s="68">
        <f t="shared" si="46"/>
        <v>12520.580645161288</v>
      </c>
      <c r="AB149" s="69">
        <f t="shared" si="47"/>
        <v>784.75806451612902</v>
      </c>
      <c r="AC149" s="69">
        <f t="shared" si="48"/>
        <v>641</v>
      </c>
      <c r="AD149" s="70">
        <f t="shared" si="49"/>
        <v>36</v>
      </c>
      <c r="AE149" s="71">
        <f t="shared" si="50"/>
        <v>1461.758064516129</v>
      </c>
      <c r="AF149" s="71">
        <f t="shared" si="51"/>
        <v>14946.467741935481</v>
      </c>
    </row>
    <row r="150" spans="1:32" x14ac:dyDescent="0.2">
      <c r="A150" s="64" t="s">
        <v>1115</v>
      </c>
      <c r="B150" s="65">
        <v>145</v>
      </c>
      <c r="C150" s="65" t="s">
        <v>979</v>
      </c>
      <c r="D150" s="64" t="s">
        <v>1115</v>
      </c>
      <c r="E150" s="66" t="s">
        <v>50</v>
      </c>
      <c r="F150" s="66" t="s">
        <v>238</v>
      </c>
      <c r="G150" s="67">
        <v>42948</v>
      </c>
      <c r="H150" s="67"/>
      <c r="I150" s="65">
        <v>31</v>
      </c>
      <c r="J150" s="68">
        <f t="shared" si="39"/>
        <v>5000</v>
      </c>
      <c r="K150" s="68">
        <f t="shared" si="40"/>
        <v>0</v>
      </c>
      <c r="L150" s="68">
        <f t="shared" si="41"/>
        <v>250</v>
      </c>
      <c r="M150" s="68"/>
      <c r="N150" s="68">
        <f t="shared" si="53"/>
        <v>800</v>
      </c>
      <c r="O150" s="68"/>
      <c r="P150" s="68">
        <f>((5248)/I$3)*I150</f>
        <v>5248</v>
      </c>
      <c r="Q150" s="68">
        <v>0</v>
      </c>
      <c r="R150" s="68">
        <v>0</v>
      </c>
      <c r="S150" s="68">
        <f t="shared" si="42"/>
        <v>11298</v>
      </c>
      <c r="T150" s="69">
        <f t="shared" si="43"/>
        <v>600</v>
      </c>
      <c r="U150" s="69">
        <f t="shared" si="52"/>
        <v>198</v>
      </c>
      <c r="V150" s="68">
        <v>0</v>
      </c>
      <c r="W150" s="68">
        <v>12</v>
      </c>
      <c r="X150" s="68">
        <f t="shared" si="44"/>
        <v>810</v>
      </c>
      <c r="Y150" s="68">
        <f t="shared" si="45"/>
        <v>10488</v>
      </c>
      <c r="Z150" s="68">
        <v>527</v>
      </c>
      <c r="AA150" s="68">
        <f t="shared" si="46"/>
        <v>9961</v>
      </c>
      <c r="AB150" s="69">
        <f t="shared" si="47"/>
        <v>657.5</v>
      </c>
      <c r="AC150" s="69">
        <f t="shared" si="48"/>
        <v>537</v>
      </c>
      <c r="AD150" s="70">
        <f t="shared" si="49"/>
        <v>36</v>
      </c>
      <c r="AE150" s="71">
        <f t="shared" si="50"/>
        <v>1230.5</v>
      </c>
      <c r="AF150" s="71">
        <f t="shared" si="51"/>
        <v>12528.5</v>
      </c>
    </row>
    <row r="151" spans="1:32" x14ac:dyDescent="0.2">
      <c r="A151" s="64" t="s">
        <v>1117</v>
      </c>
      <c r="B151" s="65">
        <v>146</v>
      </c>
      <c r="C151" s="65" t="s">
        <v>981</v>
      </c>
      <c r="D151" s="64" t="s">
        <v>1117</v>
      </c>
      <c r="E151" s="66" t="s">
        <v>50</v>
      </c>
      <c r="F151" s="66" t="s">
        <v>239</v>
      </c>
      <c r="G151" s="67">
        <v>42957</v>
      </c>
      <c r="H151" s="67"/>
      <c r="I151" s="65">
        <v>26</v>
      </c>
      <c r="J151" s="68">
        <f t="shared" si="39"/>
        <v>4193.5483870967737</v>
      </c>
      <c r="K151" s="68">
        <f t="shared" si="40"/>
        <v>0</v>
      </c>
      <c r="L151" s="68">
        <f t="shared" si="41"/>
        <v>209.67741935483869</v>
      </c>
      <c r="M151" s="68"/>
      <c r="N151" s="68">
        <f t="shared" si="53"/>
        <v>670.96774193548379</v>
      </c>
      <c r="O151" s="68"/>
      <c r="P151" s="68">
        <f>((4230)/I$3)*I151</f>
        <v>3547.7419354838707</v>
      </c>
      <c r="Q151" s="68">
        <v>0</v>
      </c>
      <c r="R151" s="68">
        <v>0</v>
      </c>
      <c r="S151" s="68">
        <f t="shared" si="42"/>
        <v>8621.9354838709678</v>
      </c>
      <c r="T151" s="69">
        <f t="shared" si="43"/>
        <v>503.22580645161281</v>
      </c>
      <c r="U151" s="69">
        <f t="shared" si="52"/>
        <v>151</v>
      </c>
      <c r="V151" s="68">
        <v>0</v>
      </c>
      <c r="W151" s="68">
        <v>12</v>
      </c>
      <c r="X151" s="68">
        <f t="shared" si="44"/>
        <v>666.22580645161281</v>
      </c>
      <c r="Y151" s="68">
        <f t="shared" si="45"/>
        <v>7955.7096774193551</v>
      </c>
      <c r="Z151" s="68"/>
      <c r="AA151" s="68">
        <f t="shared" si="46"/>
        <v>7955.7096774193551</v>
      </c>
      <c r="AB151" s="69">
        <f t="shared" si="47"/>
        <v>551.45161290322574</v>
      </c>
      <c r="AC151" s="69">
        <f t="shared" si="48"/>
        <v>410</v>
      </c>
      <c r="AD151" s="70">
        <f t="shared" si="49"/>
        <v>36</v>
      </c>
      <c r="AE151" s="71">
        <f t="shared" si="50"/>
        <v>997.45161290322574</v>
      </c>
      <c r="AF151" s="71">
        <f t="shared" si="51"/>
        <v>9619.3870967741932</v>
      </c>
    </row>
    <row r="152" spans="1:32" x14ac:dyDescent="0.2">
      <c r="A152" s="64" t="s">
        <v>1093</v>
      </c>
      <c r="B152" s="65">
        <v>147</v>
      </c>
      <c r="C152" s="65" t="s">
        <v>946</v>
      </c>
      <c r="D152" s="64" t="s">
        <v>1093</v>
      </c>
      <c r="E152" s="66" t="s">
        <v>50</v>
      </c>
      <c r="F152" s="66" t="s">
        <v>581</v>
      </c>
      <c r="G152" s="67">
        <v>42949</v>
      </c>
      <c r="H152" s="67"/>
      <c r="I152" s="65">
        <v>36</v>
      </c>
      <c r="J152" s="68">
        <f t="shared" si="39"/>
        <v>5806.4516129032254</v>
      </c>
      <c r="K152" s="68">
        <f t="shared" si="40"/>
        <v>0</v>
      </c>
      <c r="L152" s="68">
        <f t="shared" si="41"/>
        <v>290.32258064516128</v>
      </c>
      <c r="M152" s="68"/>
      <c r="N152" s="68">
        <f t="shared" si="53"/>
        <v>929.0322580645161</v>
      </c>
      <c r="O152" s="68"/>
      <c r="P152" s="68">
        <f>((4230)/I$3)*I152</f>
        <v>4912.2580645161288</v>
      </c>
      <c r="Q152" s="68">
        <v>0</v>
      </c>
      <c r="R152" s="68">
        <v>0</v>
      </c>
      <c r="S152" s="68">
        <f t="shared" si="42"/>
        <v>11938.06451612903</v>
      </c>
      <c r="T152" s="69">
        <f t="shared" si="43"/>
        <v>696.77419354838707</v>
      </c>
      <c r="U152" s="69">
        <f t="shared" si="52"/>
        <v>209</v>
      </c>
      <c r="V152" s="68">
        <v>0</v>
      </c>
      <c r="W152" s="68">
        <v>12</v>
      </c>
      <c r="X152" s="68">
        <f t="shared" si="44"/>
        <v>917.77419354838707</v>
      </c>
      <c r="Y152" s="68">
        <f t="shared" si="45"/>
        <v>11020.290322580644</v>
      </c>
      <c r="Z152" s="68"/>
      <c r="AA152" s="68">
        <f t="shared" si="46"/>
        <v>11020.290322580644</v>
      </c>
      <c r="AB152" s="69">
        <f t="shared" si="47"/>
        <v>763.54838709677415</v>
      </c>
      <c r="AC152" s="69">
        <f t="shared" si="48"/>
        <v>568</v>
      </c>
      <c r="AD152" s="70">
        <f t="shared" si="49"/>
        <v>36</v>
      </c>
      <c r="AE152" s="71">
        <f t="shared" si="50"/>
        <v>1367.5483870967741</v>
      </c>
      <c r="AF152" s="71">
        <f t="shared" si="51"/>
        <v>13305.612903225805</v>
      </c>
    </row>
    <row r="153" spans="1:32" x14ac:dyDescent="0.2">
      <c r="A153" s="64" t="s">
        <v>1094</v>
      </c>
      <c r="B153" s="65">
        <v>148</v>
      </c>
      <c r="C153" s="65" t="s">
        <v>947</v>
      </c>
      <c r="D153" s="64" t="s">
        <v>1094</v>
      </c>
      <c r="E153" s="66" t="s">
        <v>50</v>
      </c>
      <c r="F153" s="66" t="s">
        <v>581</v>
      </c>
      <c r="G153" s="67">
        <v>42953</v>
      </c>
      <c r="H153" s="67"/>
      <c r="I153" s="65">
        <v>17</v>
      </c>
      <c r="J153" s="68">
        <f t="shared" si="39"/>
        <v>2741.9354838709678</v>
      </c>
      <c r="K153" s="68">
        <f t="shared" si="40"/>
        <v>0</v>
      </c>
      <c r="L153" s="68">
        <f t="shared" si="41"/>
        <v>137.09677419354838</v>
      </c>
      <c r="M153" s="68"/>
      <c r="N153" s="68">
        <f t="shared" si="53"/>
        <v>438.70967741935482</v>
      </c>
      <c r="O153" s="68"/>
      <c r="P153" s="68">
        <f>((5757)/I$3)*I153</f>
        <v>3157.0645161290322</v>
      </c>
      <c r="Q153" s="68">
        <v>0</v>
      </c>
      <c r="R153" s="68">
        <v>0</v>
      </c>
      <c r="S153" s="68">
        <f t="shared" si="42"/>
        <v>6474.8064516129034</v>
      </c>
      <c r="T153" s="69">
        <f t="shared" si="43"/>
        <v>329.0322580645161</v>
      </c>
      <c r="U153" s="69">
        <f t="shared" si="52"/>
        <v>114</v>
      </c>
      <c r="V153" s="68">
        <v>0</v>
      </c>
      <c r="W153" s="68">
        <v>12</v>
      </c>
      <c r="X153" s="68">
        <f t="shared" si="44"/>
        <v>455.0322580645161</v>
      </c>
      <c r="Y153" s="68">
        <f t="shared" si="45"/>
        <v>6019.7741935483873</v>
      </c>
      <c r="Z153" s="68"/>
      <c r="AA153" s="68">
        <f t="shared" si="46"/>
        <v>6019.7741935483873</v>
      </c>
      <c r="AB153" s="69">
        <f t="shared" si="47"/>
        <v>360.56451612903226</v>
      </c>
      <c r="AC153" s="69">
        <f t="shared" si="48"/>
        <v>308</v>
      </c>
      <c r="AD153" s="70">
        <f t="shared" si="49"/>
        <v>36</v>
      </c>
      <c r="AE153" s="71">
        <f t="shared" si="50"/>
        <v>704.5645161290322</v>
      </c>
      <c r="AF153" s="71">
        <f t="shared" si="51"/>
        <v>7179.3709677419356</v>
      </c>
    </row>
    <row r="154" spans="1:32" x14ac:dyDescent="0.2">
      <c r="A154" s="64" t="s">
        <v>1095</v>
      </c>
      <c r="B154" s="65">
        <v>149</v>
      </c>
      <c r="C154" s="65" t="s">
        <v>214</v>
      </c>
      <c r="D154" s="64" t="s">
        <v>1095</v>
      </c>
      <c r="E154" s="66" t="s">
        <v>50</v>
      </c>
      <c r="F154" s="66" t="s">
        <v>581</v>
      </c>
      <c r="G154" s="67">
        <v>42977</v>
      </c>
      <c r="H154" s="67"/>
      <c r="I154" s="65">
        <v>32</v>
      </c>
      <c r="J154" s="68">
        <f t="shared" si="39"/>
        <v>5161.2903225806449</v>
      </c>
      <c r="K154" s="68">
        <f t="shared" si="40"/>
        <v>0</v>
      </c>
      <c r="L154" s="68">
        <f t="shared" si="41"/>
        <v>258.06451612903226</v>
      </c>
      <c r="M154" s="68"/>
      <c r="N154" s="68">
        <f t="shared" si="53"/>
        <v>825.80645161290317</v>
      </c>
      <c r="O154" s="68"/>
      <c r="P154" s="68">
        <f>((5757)/I$3)*I154</f>
        <v>5942.7096774193551</v>
      </c>
      <c r="Q154" s="68">
        <v>0</v>
      </c>
      <c r="R154" s="68">
        <v>0</v>
      </c>
      <c r="S154" s="68">
        <f t="shared" si="42"/>
        <v>12187.870967741936</v>
      </c>
      <c r="T154" s="69">
        <f t="shared" si="43"/>
        <v>619.35483870967732</v>
      </c>
      <c r="U154" s="69">
        <f t="shared" si="52"/>
        <v>214</v>
      </c>
      <c r="V154" s="68">
        <v>0</v>
      </c>
      <c r="W154" s="68">
        <v>12</v>
      </c>
      <c r="X154" s="68">
        <f t="shared" si="44"/>
        <v>845.35483870967732</v>
      </c>
      <c r="Y154" s="68">
        <f t="shared" si="45"/>
        <v>11342.516129032258</v>
      </c>
      <c r="Z154" s="68"/>
      <c r="AA154" s="68">
        <f t="shared" si="46"/>
        <v>11342.516129032258</v>
      </c>
      <c r="AB154" s="69">
        <f t="shared" si="47"/>
        <v>678.70967741935488</v>
      </c>
      <c r="AC154" s="69">
        <f t="shared" si="48"/>
        <v>579</v>
      </c>
      <c r="AD154" s="70">
        <f t="shared" si="49"/>
        <v>36</v>
      </c>
      <c r="AE154" s="71">
        <f t="shared" si="50"/>
        <v>1293.7096774193549</v>
      </c>
      <c r="AF154" s="71">
        <f t="shared" si="51"/>
        <v>13481.58064516129</v>
      </c>
    </row>
    <row r="155" spans="1:32" x14ac:dyDescent="0.2">
      <c r="A155" s="64" t="s">
        <v>1096</v>
      </c>
      <c r="B155" s="65">
        <v>150</v>
      </c>
      <c r="C155" s="65" t="s">
        <v>950</v>
      </c>
      <c r="D155" s="64" t="s">
        <v>1096</v>
      </c>
      <c r="E155" s="66" t="s">
        <v>50</v>
      </c>
      <c r="F155" s="66" t="s">
        <v>581</v>
      </c>
      <c r="G155" s="67">
        <v>42966</v>
      </c>
      <c r="H155" s="67"/>
      <c r="I155" s="65">
        <v>33</v>
      </c>
      <c r="J155" s="68">
        <f t="shared" si="39"/>
        <v>5322.5806451612898</v>
      </c>
      <c r="K155" s="68">
        <f t="shared" si="40"/>
        <v>0</v>
      </c>
      <c r="L155" s="68">
        <f t="shared" si="41"/>
        <v>266.12903225806451</v>
      </c>
      <c r="M155" s="68"/>
      <c r="N155" s="68">
        <f t="shared" si="53"/>
        <v>851.61290322580635</v>
      </c>
      <c r="O155" s="68"/>
      <c r="P155" s="68">
        <f>((5757)/I$3)*I155</f>
        <v>6128.4193548387102</v>
      </c>
      <c r="Q155" s="68">
        <v>0</v>
      </c>
      <c r="R155" s="68">
        <v>0</v>
      </c>
      <c r="S155" s="68">
        <f t="shared" si="42"/>
        <v>12568.741935483871</v>
      </c>
      <c r="T155" s="69">
        <f t="shared" si="43"/>
        <v>638.70967741935476</v>
      </c>
      <c r="U155" s="69">
        <f t="shared" si="52"/>
        <v>220</v>
      </c>
      <c r="V155" s="68">
        <v>0</v>
      </c>
      <c r="W155" s="68">
        <v>12</v>
      </c>
      <c r="X155" s="68">
        <f t="shared" si="44"/>
        <v>870.70967741935476</v>
      </c>
      <c r="Y155" s="68">
        <f t="shared" si="45"/>
        <v>11698.032258064517</v>
      </c>
      <c r="Z155" s="68"/>
      <c r="AA155" s="68">
        <f t="shared" si="46"/>
        <v>11698.032258064517</v>
      </c>
      <c r="AB155" s="69">
        <f t="shared" si="47"/>
        <v>699.91935483870964</v>
      </c>
      <c r="AC155" s="69">
        <f t="shared" si="48"/>
        <v>598</v>
      </c>
      <c r="AD155" s="70">
        <f t="shared" si="49"/>
        <v>36</v>
      </c>
      <c r="AE155" s="71">
        <f t="shared" si="50"/>
        <v>1333.9193548387098</v>
      </c>
      <c r="AF155" s="71">
        <f t="shared" si="51"/>
        <v>13902.661290322581</v>
      </c>
    </row>
    <row r="156" spans="1:32" x14ac:dyDescent="0.2">
      <c r="A156" s="64" t="s">
        <v>1124</v>
      </c>
      <c r="B156" s="65">
        <v>151</v>
      </c>
      <c r="C156" s="65" t="s">
        <v>988</v>
      </c>
      <c r="D156" s="64" t="s">
        <v>1124</v>
      </c>
      <c r="E156" s="66" t="s">
        <v>50</v>
      </c>
      <c r="F156" s="66" t="s">
        <v>241</v>
      </c>
      <c r="G156" s="67">
        <v>42942</v>
      </c>
      <c r="H156" s="67"/>
      <c r="I156" s="65">
        <v>36</v>
      </c>
      <c r="J156" s="68">
        <f t="shared" si="39"/>
        <v>5806.4516129032254</v>
      </c>
      <c r="K156" s="68">
        <f t="shared" si="40"/>
        <v>0</v>
      </c>
      <c r="L156" s="68">
        <f t="shared" si="41"/>
        <v>290.32258064516128</v>
      </c>
      <c r="M156" s="68"/>
      <c r="N156" s="68">
        <f t="shared" si="53"/>
        <v>929.0322580645161</v>
      </c>
      <c r="O156" s="68"/>
      <c r="P156" s="68">
        <f t="shared" ref="P156:P167" si="54">((4230)/I$3)*I156</f>
        <v>4912.2580645161288</v>
      </c>
      <c r="Q156" s="68">
        <v>0</v>
      </c>
      <c r="R156" s="68">
        <v>0</v>
      </c>
      <c r="S156" s="68">
        <f t="shared" si="42"/>
        <v>11938.06451612903</v>
      </c>
      <c r="T156" s="69">
        <f t="shared" si="43"/>
        <v>696.77419354838707</v>
      </c>
      <c r="U156" s="69">
        <f t="shared" si="52"/>
        <v>209</v>
      </c>
      <c r="V156" s="68">
        <v>0</v>
      </c>
      <c r="W156" s="68">
        <v>12</v>
      </c>
      <c r="X156" s="68">
        <f t="shared" si="44"/>
        <v>917.77419354838707</v>
      </c>
      <c r="Y156" s="68">
        <f t="shared" si="45"/>
        <v>11020.290322580644</v>
      </c>
      <c r="Z156" s="68"/>
      <c r="AA156" s="68">
        <f t="shared" si="46"/>
        <v>11020.290322580644</v>
      </c>
      <c r="AB156" s="69">
        <f t="shared" si="47"/>
        <v>763.54838709677415</v>
      </c>
      <c r="AC156" s="69">
        <f t="shared" si="48"/>
        <v>568</v>
      </c>
      <c r="AD156" s="70">
        <f t="shared" si="49"/>
        <v>36</v>
      </c>
      <c r="AE156" s="71">
        <f t="shared" si="50"/>
        <v>1367.5483870967741</v>
      </c>
      <c r="AF156" s="71">
        <f t="shared" si="51"/>
        <v>13305.612903225805</v>
      </c>
    </row>
    <row r="157" spans="1:32" x14ac:dyDescent="0.2">
      <c r="A157" s="64" t="s">
        <v>1163</v>
      </c>
      <c r="B157" s="65">
        <v>152</v>
      </c>
      <c r="C157" s="65" t="s">
        <v>975</v>
      </c>
      <c r="D157" s="64" t="s">
        <v>1163</v>
      </c>
      <c r="E157" s="66" t="s">
        <v>50</v>
      </c>
      <c r="F157" s="66" t="s">
        <v>707</v>
      </c>
      <c r="G157" s="67">
        <v>42969</v>
      </c>
      <c r="H157" s="67"/>
      <c r="I157" s="65">
        <v>12</v>
      </c>
      <c r="J157" s="68">
        <f t="shared" si="39"/>
        <v>1935.483870967742</v>
      </c>
      <c r="K157" s="68">
        <f t="shared" si="40"/>
        <v>0</v>
      </c>
      <c r="L157" s="68">
        <f t="shared" si="41"/>
        <v>96.774193548387103</v>
      </c>
      <c r="M157" s="68"/>
      <c r="N157" s="68">
        <f t="shared" si="53"/>
        <v>309.67741935483866</v>
      </c>
      <c r="O157" s="68"/>
      <c r="P157" s="68">
        <f t="shared" si="54"/>
        <v>1637.4193548387095</v>
      </c>
      <c r="Q157" s="68">
        <v>0</v>
      </c>
      <c r="R157" s="68"/>
      <c r="S157" s="68">
        <f t="shared" si="42"/>
        <v>3979.3548387096771</v>
      </c>
      <c r="T157" s="69">
        <f t="shared" si="43"/>
        <v>232.25806451612902</v>
      </c>
      <c r="U157" s="69">
        <f t="shared" si="52"/>
        <v>70</v>
      </c>
      <c r="V157" s="68">
        <v>0</v>
      </c>
      <c r="W157" s="68">
        <v>12</v>
      </c>
      <c r="X157" s="68">
        <f t="shared" si="44"/>
        <v>314.25806451612902</v>
      </c>
      <c r="Y157" s="68">
        <f t="shared" si="45"/>
        <v>3665.0967741935483</v>
      </c>
      <c r="Z157" s="68"/>
      <c r="AA157" s="68">
        <f t="shared" si="46"/>
        <v>3665.0967741935483</v>
      </c>
      <c r="AB157" s="69">
        <f t="shared" si="47"/>
        <v>254.51612903225808</v>
      </c>
      <c r="AC157" s="69">
        <f t="shared" si="48"/>
        <v>190</v>
      </c>
      <c r="AD157" s="70">
        <f t="shared" si="49"/>
        <v>36</v>
      </c>
      <c r="AE157" s="71">
        <f t="shared" si="50"/>
        <v>480.51612903225805</v>
      </c>
      <c r="AF157" s="71">
        <f t="shared" si="51"/>
        <v>4459.8709677419356</v>
      </c>
    </row>
    <row r="158" spans="1:32" x14ac:dyDescent="0.2">
      <c r="A158" s="64" t="s">
        <v>1164</v>
      </c>
      <c r="B158" s="65">
        <v>153</v>
      </c>
      <c r="C158" s="65" t="s">
        <v>403</v>
      </c>
      <c r="D158" s="64" t="s">
        <v>1164</v>
      </c>
      <c r="E158" s="66" t="s">
        <v>50</v>
      </c>
      <c r="F158" s="66" t="s">
        <v>707</v>
      </c>
      <c r="G158" s="67">
        <v>42969</v>
      </c>
      <c r="H158" s="67"/>
      <c r="I158" s="65">
        <v>36</v>
      </c>
      <c r="J158" s="68">
        <f t="shared" si="39"/>
        <v>5806.4516129032254</v>
      </c>
      <c r="K158" s="68">
        <f t="shared" si="40"/>
        <v>0</v>
      </c>
      <c r="L158" s="68">
        <f t="shared" si="41"/>
        <v>290.32258064516128</v>
      </c>
      <c r="M158" s="68"/>
      <c r="N158" s="68">
        <f t="shared" si="53"/>
        <v>929.0322580645161</v>
      </c>
      <c r="O158" s="68"/>
      <c r="P158" s="68">
        <f t="shared" si="54"/>
        <v>4912.2580645161288</v>
      </c>
      <c r="Q158" s="68">
        <v>0</v>
      </c>
      <c r="R158" s="68"/>
      <c r="S158" s="68">
        <f t="shared" si="42"/>
        <v>11938.06451612903</v>
      </c>
      <c r="T158" s="69">
        <f t="shared" si="43"/>
        <v>696.77419354838707</v>
      </c>
      <c r="U158" s="69">
        <f t="shared" si="52"/>
        <v>209</v>
      </c>
      <c r="V158" s="68">
        <v>0</v>
      </c>
      <c r="W158" s="68">
        <v>12</v>
      </c>
      <c r="X158" s="68">
        <f t="shared" si="44"/>
        <v>917.77419354838707</v>
      </c>
      <c r="Y158" s="68">
        <f t="shared" si="45"/>
        <v>11020.290322580644</v>
      </c>
      <c r="Z158" s="68"/>
      <c r="AA158" s="68">
        <f t="shared" si="46"/>
        <v>11020.290322580644</v>
      </c>
      <c r="AB158" s="69">
        <f t="shared" si="47"/>
        <v>763.54838709677415</v>
      </c>
      <c r="AC158" s="69">
        <f t="shared" si="48"/>
        <v>568</v>
      </c>
      <c r="AD158" s="70">
        <f t="shared" si="49"/>
        <v>36</v>
      </c>
      <c r="AE158" s="71">
        <f t="shared" si="50"/>
        <v>1367.5483870967741</v>
      </c>
      <c r="AF158" s="71">
        <f t="shared" si="51"/>
        <v>13305.612903225805</v>
      </c>
    </row>
    <row r="159" spans="1:32" x14ac:dyDescent="0.2">
      <c r="A159" s="64" t="s">
        <v>1165</v>
      </c>
      <c r="B159" s="65">
        <v>154</v>
      </c>
      <c r="C159" s="65" t="s">
        <v>976</v>
      </c>
      <c r="D159" s="64" t="s">
        <v>1165</v>
      </c>
      <c r="E159" s="66" t="s">
        <v>50</v>
      </c>
      <c r="F159" s="66" t="s">
        <v>707</v>
      </c>
      <c r="G159" s="67">
        <v>42966</v>
      </c>
      <c r="H159" s="67"/>
      <c r="I159" s="65">
        <v>31</v>
      </c>
      <c r="J159" s="68">
        <f t="shared" si="39"/>
        <v>5000</v>
      </c>
      <c r="K159" s="68">
        <f t="shared" si="40"/>
        <v>0</v>
      </c>
      <c r="L159" s="68">
        <f t="shared" si="41"/>
        <v>250</v>
      </c>
      <c r="M159" s="68"/>
      <c r="N159" s="68">
        <f t="shared" si="53"/>
        <v>800</v>
      </c>
      <c r="O159" s="68"/>
      <c r="P159" s="68">
        <f t="shared" si="54"/>
        <v>4230</v>
      </c>
      <c r="Q159" s="68">
        <v>0</v>
      </c>
      <c r="R159" s="68"/>
      <c r="S159" s="68">
        <f t="shared" si="42"/>
        <v>10280</v>
      </c>
      <c r="T159" s="69">
        <f t="shared" si="43"/>
        <v>600</v>
      </c>
      <c r="U159" s="69">
        <f t="shared" si="52"/>
        <v>180</v>
      </c>
      <c r="V159" s="68">
        <v>0</v>
      </c>
      <c r="W159" s="68">
        <v>12</v>
      </c>
      <c r="X159" s="68">
        <f t="shared" si="44"/>
        <v>792</v>
      </c>
      <c r="Y159" s="68">
        <f t="shared" si="45"/>
        <v>9488</v>
      </c>
      <c r="Z159" s="68"/>
      <c r="AA159" s="68">
        <f t="shared" si="46"/>
        <v>9488</v>
      </c>
      <c r="AB159" s="69">
        <f t="shared" si="47"/>
        <v>657.5</v>
      </c>
      <c r="AC159" s="69">
        <f t="shared" si="48"/>
        <v>489</v>
      </c>
      <c r="AD159" s="70">
        <f t="shared" si="49"/>
        <v>36</v>
      </c>
      <c r="AE159" s="71">
        <f t="shared" si="50"/>
        <v>1182.5</v>
      </c>
      <c r="AF159" s="71">
        <f t="shared" si="51"/>
        <v>11462.5</v>
      </c>
    </row>
    <row r="160" spans="1:32" x14ac:dyDescent="0.2">
      <c r="A160" s="64" t="s">
        <v>1166</v>
      </c>
      <c r="B160" s="65">
        <v>155</v>
      </c>
      <c r="C160" s="65" t="s">
        <v>978</v>
      </c>
      <c r="D160" s="64" t="s">
        <v>1166</v>
      </c>
      <c r="E160" s="66" t="s">
        <v>50</v>
      </c>
      <c r="F160" s="66" t="s">
        <v>707</v>
      </c>
      <c r="G160" s="67">
        <v>42973</v>
      </c>
      <c r="H160" s="67"/>
      <c r="I160" s="65">
        <v>24</v>
      </c>
      <c r="J160" s="68">
        <f t="shared" si="39"/>
        <v>3870.9677419354839</v>
      </c>
      <c r="K160" s="68">
        <f t="shared" si="40"/>
        <v>0</v>
      </c>
      <c r="L160" s="68">
        <f t="shared" si="41"/>
        <v>193.54838709677421</v>
      </c>
      <c r="M160" s="68"/>
      <c r="N160" s="68">
        <f t="shared" si="53"/>
        <v>619.35483870967732</v>
      </c>
      <c r="O160" s="68"/>
      <c r="P160" s="68">
        <f t="shared" si="54"/>
        <v>3274.838709677419</v>
      </c>
      <c r="Q160" s="68">
        <v>0</v>
      </c>
      <c r="R160" s="68"/>
      <c r="S160" s="68">
        <f t="shared" si="42"/>
        <v>7958.7096774193542</v>
      </c>
      <c r="T160" s="69">
        <f t="shared" si="43"/>
        <v>464.51612903225805</v>
      </c>
      <c r="U160" s="69">
        <f t="shared" si="52"/>
        <v>140</v>
      </c>
      <c r="V160" s="68">
        <v>0</v>
      </c>
      <c r="W160" s="68">
        <v>12</v>
      </c>
      <c r="X160" s="68">
        <f t="shared" si="44"/>
        <v>616.51612903225805</v>
      </c>
      <c r="Y160" s="68">
        <f t="shared" si="45"/>
        <v>7342.1935483870966</v>
      </c>
      <c r="Z160" s="68"/>
      <c r="AA160" s="68">
        <f t="shared" si="46"/>
        <v>7342.1935483870966</v>
      </c>
      <c r="AB160" s="69">
        <f t="shared" si="47"/>
        <v>509.03225806451616</v>
      </c>
      <c r="AC160" s="69">
        <f t="shared" si="48"/>
        <v>379</v>
      </c>
      <c r="AD160" s="70">
        <f t="shared" si="49"/>
        <v>36</v>
      </c>
      <c r="AE160" s="71">
        <f t="shared" si="50"/>
        <v>924.0322580645161</v>
      </c>
      <c r="AF160" s="71">
        <f t="shared" si="51"/>
        <v>8882.7419354838712</v>
      </c>
    </row>
    <row r="161" spans="1:32" x14ac:dyDescent="0.2">
      <c r="A161" s="64" t="s">
        <v>1105</v>
      </c>
      <c r="B161" s="65">
        <v>156</v>
      </c>
      <c r="C161" s="65" t="s">
        <v>84</v>
      </c>
      <c r="D161" s="64" t="s">
        <v>1105</v>
      </c>
      <c r="E161" s="66" t="s">
        <v>50</v>
      </c>
      <c r="F161" s="66" t="s">
        <v>484</v>
      </c>
      <c r="G161" s="67">
        <v>42947</v>
      </c>
      <c r="H161" s="67"/>
      <c r="I161" s="65">
        <v>34</v>
      </c>
      <c r="J161" s="68">
        <f t="shared" si="39"/>
        <v>5483.8709677419356</v>
      </c>
      <c r="K161" s="68">
        <f t="shared" si="40"/>
        <v>0</v>
      </c>
      <c r="L161" s="68">
        <f t="shared" si="41"/>
        <v>274.19354838709677</v>
      </c>
      <c r="M161" s="68"/>
      <c r="N161" s="68">
        <f t="shared" si="53"/>
        <v>877.41935483870964</v>
      </c>
      <c r="O161" s="68"/>
      <c r="P161" s="68">
        <f t="shared" si="54"/>
        <v>4639.3548387096771</v>
      </c>
      <c r="Q161" s="68">
        <v>0</v>
      </c>
      <c r="R161" s="68">
        <v>0</v>
      </c>
      <c r="S161" s="68">
        <f t="shared" si="42"/>
        <v>11274.838709677419</v>
      </c>
      <c r="T161" s="69">
        <f t="shared" si="43"/>
        <v>658.0645161290322</v>
      </c>
      <c r="U161" s="69">
        <f t="shared" si="52"/>
        <v>198</v>
      </c>
      <c r="V161" s="68">
        <v>0</v>
      </c>
      <c r="W161" s="68">
        <v>12</v>
      </c>
      <c r="X161" s="68">
        <f t="shared" si="44"/>
        <v>868.0645161290322</v>
      </c>
      <c r="Y161" s="68">
        <f t="shared" si="45"/>
        <v>10406.774193548386</v>
      </c>
      <c r="Z161" s="68"/>
      <c r="AA161" s="68">
        <f t="shared" si="46"/>
        <v>10406.774193548386</v>
      </c>
      <c r="AB161" s="69">
        <f t="shared" si="47"/>
        <v>721.12903225806451</v>
      </c>
      <c r="AC161" s="69">
        <f t="shared" si="48"/>
        <v>536</v>
      </c>
      <c r="AD161" s="70">
        <f t="shared" si="49"/>
        <v>36</v>
      </c>
      <c r="AE161" s="71">
        <f t="shared" si="50"/>
        <v>1293.1290322580644</v>
      </c>
      <c r="AF161" s="71">
        <f t="shared" si="51"/>
        <v>12567.967741935483</v>
      </c>
    </row>
    <row r="162" spans="1:32" x14ac:dyDescent="0.2">
      <c r="A162" s="64" t="s">
        <v>1106</v>
      </c>
      <c r="B162" s="65">
        <v>157</v>
      </c>
      <c r="C162" s="65" t="s">
        <v>966</v>
      </c>
      <c r="D162" s="64" t="s">
        <v>1106</v>
      </c>
      <c r="E162" s="66" t="s">
        <v>50</v>
      </c>
      <c r="F162" s="66" t="s">
        <v>484</v>
      </c>
      <c r="G162" s="67">
        <v>42947</v>
      </c>
      <c r="H162" s="67"/>
      <c r="I162" s="65">
        <v>26</v>
      </c>
      <c r="J162" s="68">
        <f t="shared" si="39"/>
        <v>4193.5483870967737</v>
      </c>
      <c r="K162" s="68">
        <f t="shared" si="40"/>
        <v>0</v>
      </c>
      <c r="L162" s="68">
        <f t="shared" si="41"/>
        <v>209.67741935483869</v>
      </c>
      <c r="M162" s="68"/>
      <c r="N162" s="68">
        <f t="shared" si="53"/>
        <v>670.96774193548379</v>
      </c>
      <c r="O162" s="68"/>
      <c r="P162" s="68">
        <f t="shared" si="54"/>
        <v>3547.7419354838707</v>
      </c>
      <c r="Q162" s="68">
        <v>0</v>
      </c>
      <c r="R162" s="68">
        <v>0</v>
      </c>
      <c r="S162" s="68">
        <f t="shared" si="42"/>
        <v>8621.9354838709678</v>
      </c>
      <c r="T162" s="69">
        <f t="shared" si="43"/>
        <v>503.22580645161281</v>
      </c>
      <c r="U162" s="69">
        <f t="shared" si="52"/>
        <v>151</v>
      </c>
      <c r="V162" s="68">
        <v>0</v>
      </c>
      <c r="W162" s="68">
        <v>12</v>
      </c>
      <c r="X162" s="68">
        <f t="shared" si="44"/>
        <v>666.22580645161281</v>
      </c>
      <c r="Y162" s="68">
        <f t="shared" si="45"/>
        <v>7955.7096774193551</v>
      </c>
      <c r="Z162" s="68"/>
      <c r="AA162" s="68">
        <f t="shared" si="46"/>
        <v>7955.7096774193551</v>
      </c>
      <c r="AB162" s="69">
        <f t="shared" si="47"/>
        <v>551.45161290322574</v>
      </c>
      <c r="AC162" s="69">
        <f t="shared" si="48"/>
        <v>410</v>
      </c>
      <c r="AD162" s="70">
        <f t="shared" si="49"/>
        <v>36</v>
      </c>
      <c r="AE162" s="71">
        <f t="shared" si="50"/>
        <v>997.45161290322574</v>
      </c>
      <c r="AF162" s="71">
        <f t="shared" si="51"/>
        <v>9619.3870967741932</v>
      </c>
    </row>
    <row r="163" spans="1:32" x14ac:dyDescent="0.2">
      <c r="A163" s="64" t="s">
        <v>1107</v>
      </c>
      <c r="B163" s="65">
        <v>158</v>
      </c>
      <c r="C163" s="65" t="s">
        <v>967</v>
      </c>
      <c r="D163" s="64" t="s">
        <v>1107</v>
      </c>
      <c r="E163" s="66" t="s">
        <v>50</v>
      </c>
      <c r="F163" s="66" t="s">
        <v>484</v>
      </c>
      <c r="G163" s="67">
        <v>42948</v>
      </c>
      <c r="H163" s="67"/>
      <c r="I163" s="65">
        <v>34</v>
      </c>
      <c r="J163" s="68">
        <f t="shared" si="39"/>
        <v>5483.8709677419356</v>
      </c>
      <c r="K163" s="68">
        <f t="shared" si="40"/>
        <v>0</v>
      </c>
      <c r="L163" s="68">
        <f t="shared" si="41"/>
        <v>274.19354838709677</v>
      </c>
      <c r="M163" s="68"/>
      <c r="N163" s="68">
        <f t="shared" si="53"/>
        <v>877.41935483870964</v>
      </c>
      <c r="O163" s="68"/>
      <c r="P163" s="68">
        <f t="shared" si="54"/>
        <v>4639.3548387096771</v>
      </c>
      <c r="Q163" s="68">
        <v>0</v>
      </c>
      <c r="R163" s="68">
        <v>0</v>
      </c>
      <c r="S163" s="68">
        <f t="shared" si="42"/>
        <v>11274.838709677419</v>
      </c>
      <c r="T163" s="69">
        <f t="shared" si="43"/>
        <v>658.0645161290322</v>
      </c>
      <c r="U163" s="69">
        <f t="shared" si="52"/>
        <v>198</v>
      </c>
      <c r="V163" s="68">
        <v>0</v>
      </c>
      <c r="W163" s="68">
        <v>12</v>
      </c>
      <c r="X163" s="68">
        <f t="shared" si="44"/>
        <v>868.0645161290322</v>
      </c>
      <c r="Y163" s="68">
        <f t="shared" si="45"/>
        <v>10406.774193548386</v>
      </c>
      <c r="Z163" s="68"/>
      <c r="AA163" s="68">
        <f t="shared" si="46"/>
        <v>10406.774193548386</v>
      </c>
      <c r="AB163" s="69">
        <f t="shared" si="47"/>
        <v>721.12903225806451</v>
      </c>
      <c r="AC163" s="69">
        <f t="shared" si="48"/>
        <v>536</v>
      </c>
      <c r="AD163" s="70">
        <f t="shared" si="49"/>
        <v>36</v>
      </c>
      <c r="AE163" s="71">
        <f t="shared" si="50"/>
        <v>1293.1290322580644</v>
      </c>
      <c r="AF163" s="71">
        <f t="shared" si="51"/>
        <v>12567.967741935483</v>
      </c>
    </row>
    <row r="164" spans="1:32" x14ac:dyDescent="0.2">
      <c r="A164" s="64" t="s">
        <v>1108</v>
      </c>
      <c r="B164" s="65">
        <v>159</v>
      </c>
      <c r="C164" s="65" t="s">
        <v>968</v>
      </c>
      <c r="D164" s="64" t="s">
        <v>1108</v>
      </c>
      <c r="E164" s="66" t="s">
        <v>50</v>
      </c>
      <c r="F164" s="66" t="s">
        <v>484</v>
      </c>
      <c r="G164" s="67">
        <v>42949</v>
      </c>
      <c r="H164" s="67"/>
      <c r="I164" s="65">
        <v>32</v>
      </c>
      <c r="J164" s="68">
        <f t="shared" si="39"/>
        <v>5161.2903225806449</v>
      </c>
      <c r="K164" s="68">
        <f t="shared" si="40"/>
        <v>0</v>
      </c>
      <c r="L164" s="68">
        <f t="shared" si="41"/>
        <v>258.06451612903226</v>
      </c>
      <c r="M164" s="68"/>
      <c r="N164" s="68">
        <f t="shared" si="53"/>
        <v>825.80645161290317</v>
      </c>
      <c r="O164" s="68"/>
      <c r="P164" s="68">
        <f t="shared" si="54"/>
        <v>4366.4516129032254</v>
      </c>
      <c r="Q164" s="68">
        <v>0</v>
      </c>
      <c r="R164" s="68">
        <v>0</v>
      </c>
      <c r="S164" s="68">
        <f t="shared" si="42"/>
        <v>10611.612903225807</v>
      </c>
      <c r="T164" s="69">
        <f t="shared" si="43"/>
        <v>619.35483870967732</v>
      </c>
      <c r="U164" s="69">
        <f t="shared" si="52"/>
        <v>186</v>
      </c>
      <c r="V164" s="68">
        <v>0</v>
      </c>
      <c r="W164" s="68">
        <v>12</v>
      </c>
      <c r="X164" s="68">
        <f t="shared" si="44"/>
        <v>817.35483870967732</v>
      </c>
      <c r="Y164" s="68">
        <f t="shared" si="45"/>
        <v>9794.2580645161288</v>
      </c>
      <c r="Z164" s="68"/>
      <c r="AA164" s="68">
        <f t="shared" si="46"/>
        <v>9794.2580645161288</v>
      </c>
      <c r="AB164" s="69">
        <f t="shared" si="47"/>
        <v>678.70967741935488</v>
      </c>
      <c r="AC164" s="69">
        <f t="shared" si="48"/>
        <v>505</v>
      </c>
      <c r="AD164" s="70">
        <f t="shared" si="49"/>
        <v>36</v>
      </c>
      <c r="AE164" s="71">
        <f t="shared" si="50"/>
        <v>1219.7096774193549</v>
      </c>
      <c r="AF164" s="71">
        <f t="shared" si="51"/>
        <v>11831.322580645161</v>
      </c>
    </row>
    <row r="165" spans="1:32" x14ac:dyDescent="0.2">
      <c r="A165" s="64" t="s">
        <v>1111</v>
      </c>
      <c r="B165" s="65">
        <v>160</v>
      </c>
      <c r="C165" s="65" t="s">
        <v>956</v>
      </c>
      <c r="D165" s="64" t="s">
        <v>1111</v>
      </c>
      <c r="E165" s="66" t="s">
        <v>50</v>
      </c>
      <c r="F165" s="66" t="s">
        <v>484</v>
      </c>
      <c r="G165" s="67">
        <v>42966</v>
      </c>
      <c r="H165" s="67"/>
      <c r="I165" s="65">
        <v>34</v>
      </c>
      <c r="J165" s="68">
        <f t="shared" si="39"/>
        <v>5483.8709677419356</v>
      </c>
      <c r="K165" s="68">
        <f t="shared" si="40"/>
        <v>0</v>
      </c>
      <c r="L165" s="68">
        <f t="shared" si="41"/>
        <v>274.19354838709677</v>
      </c>
      <c r="M165" s="68"/>
      <c r="N165" s="68">
        <f t="shared" si="53"/>
        <v>877.41935483870964</v>
      </c>
      <c r="O165" s="68"/>
      <c r="P165" s="68">
        <f t="shared" si="54"/>
        <v>4639.3548387096771</v>
      </c>
      <c r="Q165" s="68">
        <v>0</v>
      </c>
      <c r="R165" s="68">
        <v>0</v>
      </c>
      <c r="S165" s="68">
        <f t="shared" si="42"/>
        <v>11274.838709677419</v>
      </c>
      <c r="T165" s="69">
        <f t="shared" si="43"/>
        <v>658.0645161290322</v>
      </c>
      <c r="U165" s="69">
        <f t="shared" si="52"/>
        <v>198</v>
      </c>
      <c r="V165" s="68">
        <v>0</v>
      </c>
      <c r="W165" s="68">
        <v>12</v>
      </c>
      <c r="X165" s="68">
        <f t="shared" si="44"/>
        <v>868.0645161290322</v>
      </c>
      <c r="Y165" s="68">
        <f t="shared" si="45"/>
        <v>10406.774193548386</v>
      </c>
      <c r="Z165" s="68"/>
      <c r="AA165" s="68">
        <f t="shared" si="46"/>
        <v>10406.774193548386</v>
      </c>
      <c r="AB165" s="69">
        <f t="shared" si="47"/>
        <v>721.12903225806451</v>
      </c>
      <c r="AC165" s="69">
        <f t="shared" si="48"/>
        <v>536</v>
      </c>
      <c r="AD165" s="70">
        <f t="shared" si="49"/>
        <v>36</v>
      </c>
      <c r="AE165" s="71">
        <f t="shared" si="50"/>
        <v>1293.1290322580644</v>
      </c>
      <c r="AF165" s="71">
        <f t="shared" si="51"/>
        <v>12567.967741935483</v>
      </c>
    </row>
    <row r="166" spans="1:32" x14ac:dyDescent="0.2">
      <c r="A166" s="64" t="s">
        <v>1112</v>
      </c>
      <c r="B166" s="65">
        <v>161</v>
      </c>
      <c r="C166" s="65" t="s">
        <v>973</v>
      </c>
      <c r="D166" s="64" t="s">
        <v>1112</v>
      </c>
      <c r="E166" s="66" t="s">
        <v>50</v>
      </c>
      <c r="F166" s="66" t="s">
        <v>484</v>
      </c>
      <c r="G166" s="67">
        <v>42967</v>
      </c>
      <c r="H166" s="67"/>
      <c r="I166" s="65">
        <v>35</v>
      </c>
      <c r="J166" s="68">
        <f t="shared" ref="J166:J172" si="55">(5000/I$3)*I166</f>
        <v>5645.1612903225805</v>
      </c>
      <c r="K166" s="68">
        <f t="shared" si="40"/>
        <v>0</v>
      </c>
      <c r="L166" s="68">
        <f t="shared" si="41"/>
        <v>282.25806451612902</v>
      </c>
      <c r="M166" s="68"/>
      <c r="N166" s="68">
        <f t="shared" si="53"/>
        <v>903.22580645161281</v>
      </c>
      <c r="O166" s="68"/>
      <c r="P166" s="68">
        <f t="shared" si="54"/>
        <v>4775.8064516129025</v>
      </c>
      <c r="Q166" s="68">
        <v>0</v>
      </c>
      <c r="R166" s="68">
        <v>0</v>
      </c>
      <c r="S166" s="68">
        <f t="shared" si="42"/>
        <v>11606.451612903224</v>
      </c>
      <c r="T166" s="69">
        <f t="shared" si="43"/>
        <v>677.41935483870964</v>
      </c>
      <c r="U166" s="69">
        <f t="shared" si="52"/>
        <v>204</v>
      </c>
      <c r="V166" s="68">
        <v>0</v>
      </c>
      <c r="W166" s="68">
        <v>12</v>
      </c>
      <c r="X166" s="68">
        <f t="shared" si="44"/>
        <v>893.41935483870964</v>
      </c>
      <c r="Y166" s="68">
        <f t="shared" si="45"/>
        <v>10713.032258064513</v>
      </c>
      <c r="Z166" s="68"/>
      <c r="AA166" s="68">
        <f t="shared" si="46"/>
        <v>10713.032258064513</v>
      </c>
      <c r="AB166" s="69">
        <f t="shared" si="47"/>
        <v>742.33870967741939</v>
      </c>
      <c r="AC166" s="69">
        <f t="shared" si="48"/>
        <v>552</v>
      </c>
      <c r="AD166" s="70">
        <f t="shared" si="49"/>
        <v>36</v>
      </c>
      <c r="AE166" s="71">
        <f t="shared" si="50"/>
        <v>1330.3387096774195</v>
      </c>
      <c r="AF166" s="71">
        <f t="shared" si="51"/>
        <v>12936.790322580644</v>
      </c>
    </row>
    <row r="167" spans="1:32" x14ac:dyDescent="0.2">
      <c r="A167" s="64" t="s">
        <v>1113</v>
      </c>
      <c r="B167" s="65">
        <v>162</v>
      </c>
      <c r="C167" s="65" t="s">
        <v>974</v>
      </c>
      <c r="D167" s="64" t="s">
        <v>1113</v>
      </c>
      <c r="E167" s="66" t="s">
        <v>50</v>
      </c>
      <c r="F167" s="66" t="s">
        <v>484</v>
      </c>
      <c r="G167" s="67">
        <v>42967</v>
      </c>
      <c r="H167" s="67"/>
      <c r="I167" s="65">
        <v>18</v>
      </c>
      <c r="J167" s="68">
        <f t="shared" si="55"/>
        <v>2903.2258064516127</v>
      </c>
      <c r="K167" s="68">
        <f t="shared" si="40"/>
        <v>0</v>
      </c>
      <c r="L167" s="68">
        <f t="shared" si="41"/>
        <v>145.16129032258064</v>
      </c>
      <c r="M167" s="68"/>
      <c r="N167" s="68">
        <f t="shared" si="53"/>
        <v>464.51612903225805</v>
      </c>
      <c r="O167" s="68"/>
      <c r="P167" s="68">
        <f t="shared" si="54"/>
        <v>2456.1290322580644</v>
      </c>
      <c r="Q167" s="68">
        <v>0</v>
      </c>
      <c r="R167" s="68">
        <v>0</v>
      </c>
      <c r="S167" s="68">
        <f t="shared" si="42"/>
        <v>5969.0322580645152</v>
      </c>
      <c r="T167" s="69">
        <f t="shared" si="43"/>
        <v>348.38709677419354</v>
      </c>
      <c r="U167" s="69">
        <f t="shared" si="52"/>
        <v>105</v>
      </c>
      <c r="V167" s="68">
        <v>0</v>
      </c>
      <c r="W167" s="68">
        <v>12</v>
      </c>
      <c r="X167" s="68">
        <f t="shared" si="44"/>
        <v>465.38709677419354</v>
      </c>
      <c r="Y167" s="68">
        <f t="shared" si="45"/>
        <v>5503.645161290322</v>
      </c>
      <c r="Z167" s="68"/>
      <c r="AA167" s="68">
        <f t="shared" si="46"/>
        <v>5503.645161290322</v>
      </c>
      <c r="AB167" s="69">
        <f t="shared" si="47"/>
        <v>381.77419354838707</v>
      </c>
      <c r="AC167" s="69">
        <f t="shared" si="48"/>
        <v>284</v>
      </c>
      <c r="AD167" s="70">
        <f t="shared" si="49"/>
        <v>36</v>
      </c>
      <c r="AE167" s="71">
        <f t="shared" si="50"/>
        <v>701.77419354838707</v>
      </c>
      <c r="AF167" s="71">
        <f t="shared" si="51"/>
        <v>6670.8064516129025</v>
      </c>
    </row>
    <row r="168" spans="1:32" x14ac:dyDescent="0.2">
      <c r="A168" s="64" t="s">
        <v>1097</v>
      </c>
      <c r="B168" s="65">
        <v>163</v>
      </c>
      <c r="C168" s="65" t="s">
        <v>952</v>
      </c>
      <c r="D168" s="64" t="s">
        <v>1097</v>
      </c>
      <c r="E168" s="66" t="s">
        <v>50</v>
      </c>
      <c r="F168" s="66" t="s">
        <v>234</v>
      </c>
      <c r="G168" s="67">
        <v>42948</v>
      </c>
      <c r="H168" s="67"/>
      <c r="I168" s="65">
        <v>37</v>
      </c>
      <c r="J168" s="68">
        <f t="shared" si="55"/>
        <v>5967.7419354838703</v>
      </c>
      <c r="K168" s="68">
        <f t="shared" si="40"/>
        <v>0</v>
      </c>
      <c r="L168" s="68">
        <f t="shared" si="41"/>
        <v>298.38709677419354</v>
      </c>
      <c r="M168" s="68"/>
      <c r="N168" s="68">
        <f t="shared" si="53"/>
        <v>954.83870967741927</v>
      </c>
      <c r="O168" s="68"/>
      <c r="P168" s="68">
        <f>((5248)/I$3)*I168</f>
        <v>6263.7419354838703</v>
      </c>
      <c r="Q168" s="68">
        <v>0</v>
      </c>
      <c r="R168" s="68">
        <v>0</v>
      </c>
      <c r="S168" s="68">
        <f t="shared" si="42"/>
        <v>13484.709677419352</v>
      </c>
      <c r="T168" s="69">
        <f t="shared" si="43"/>
        <v>716.1290322580644</v>
      </c>
      <c r="U168" s="69">
        <f t="shared" ref="U168:U199" si="56">ROUNDUP((S168*1.75%),0)</f>
        <v>236</v>
      </c>
      <c r="V168" s="68">
        <v>0</v>
      </c>
      <c r="W168" s="68">
        <v>12</v>
      </c>
      <c r="X168" s="68">
        <f t="shared" si="44"/>
        <v>964.1290322580644</v>
      </c>
      <c r="Y168" s="68">
        <f t="shared" si="45"/>
        <v>12520.580645161288</v>
      </c>
      <c r="Z168" s="68"/>
      <c r="AA168" s="68">
        <f t="shared" si="46"/>
        <v>12520.580645161288</v>
      </c>
      <c r="AB168" s="69">
        <f t="shared" si="47"/>
        <v>784.75806451612902</v>
      </c>
      <c r="AC168" s="69">
        <f t="shared" si="48"/>
        <v>641</v>
      </c>
      <c r="AD168" s="70">
        <f t="shared" si="49"/>
        <v>36</v>
      </c>
      <c r="AE168" s="71">
        <f t="shared" si="50"/>
        <v>1461.758064516129</v>
      </c>
      <c r="AF168" s="71">
        <f t="shared" si="51"/>
        <v>14946.467741935481</v>
      </c>
    </row>
    <row r="169" spans="1:32" x14ac:dyDescent="0.2">
      <c r="A169" s="64" t="s">
        <v>1098</v>
      </c>
      <c r="B169" s="65">
        <v>164</v>
      </c>
      <c r="C169" s="65" t="s">
        <v>955</v>
      </c>
      <c r="D169" s="64" t="s">
        <v>1098</v>
      </c>
      <c r="E169" s="66" t="s">
        <v>50</v>
      </c>
      <c r="F169" s="66" t="s">
        <v>234</v>
      </c>
      <c r="G169" s="67">
        <v>42949</v>
      </c>
      <c r="H169" s="67"/>
      <c r="I169" s="65">
        <v>17</v>
      </c>
      <c r="J169" s="68">
        <f t="shared" si="55"/>
        <v>2741.9354838709678</v>
      </c>
      <c r="K169" s="68">
        <f t="shared" si="40"/>
        <v>0</v>
      </c>
      <c r="L169" s="68">
        <f t="shared" si="41"/>
        <v>137.09677419354838</v>
      </c>
      <c r="M169" s="68"/>
      <c r="N169" s="68">
        <f t="shared" si="53"/>
        <v>438.70967741935482</v>
      </c>
      <c r="O169" s="68"/>
      <c r="P169" s="68">
        <f>((5248)/I$3)*I169</f>
        <v>2877.9354838709678</v>
      </c>
      <c r="Q169" s="68">
        <v>0</v>
      </c>
      <c r="R169" s="68">
        <v>0</v>
      </c>
      <c r="S169" s="68">
        <f t="shared" si="42"/>
        <v>6195.677419354839</v>
      </c>
      <c r="T169" s="69">
        <f t="shared" si="43"/>
        <v>329.0322580645161</v>
      </c>
      <c r="U169" s="69">
        <f t="shared" si="56"/>
        <v>109</v>
      </c>
      <c r="V169" s="68">
        <v>0</v>
      </c>
      <c r="W169" s="68">
        <v>12</v>
      </c>
      <c r="X169" s="68">
        <f t="shared" si="44"/>
        <v>450.0322580645161</v>
      </c>
      <c r="Y169" s="68">
        <f t="shared" si="45"/>
        <v>5745.6451612903229</v>
      </c>
      <c r="Z169" s="68"/>
      <c r="AA169" s="68">
        <f t="shared" si="46"/>
        <v>5745.6451612903229</v>
      </c>
      <c r="AB169" s="69">
        <f t="shared" si="47"/>
        <v>360.56451612903226</v>
      </c>
      <c r="AC169" s="69">
        <f t="shared" si="48"/>
        <v>295</v>
      </c>
      <c r="AD169" s="70">
        <f t="shared" si="49"/>
        <v>36</v>
      </c>
      <c r="AE169" s="71">
        <f t="shared" si="50"/>
        <v>691.5645161290322</v>
      </c>
      <c r="AF169" s="71">
        <f t="shared" si="51"/>
        <v>6887.2419354838712</v>
      </c>
    </row>
    <row r="170" spans="1:32" x14ac:dyDescent="0.2">
      <c r="A170" s="64" t="s">
        <v>1099</v>
      </c>
      <c r="B170" s="65">
        <v>165</v>
      </c>
      <c r="C170" s="65" t="s">
        <v>957</v>
      </c>
      <c r="D170" s="64" t="s">
        <v>1099</v>
      </c>
      <c r="E170" s="66" t="s">
        <v>50</v>
      </c>
      <c r="F170" s="66" t="s">
        <v>234</v>
      </c>
      <c r="G170" s="67">
        <v>42951</v>
      </c>
      <c r="H170" s="67"/>
      <c r="I170" s="65">
        <v>35</v>
      </c>
      <c r="J170" s="68">
        <f t="shared" si="55"/>
        <v>5645.1612903225805</v>
      </c>
      <c r="K170" s="68">
        <f t="shared" si="40"/>
        <v>0</v>
      </c>
      <c r="L170" s="68">
        <f t="shared" si="41"/>
        <v>282.25806451612902</v>
      </c>
      <c r="M170" s="68"/>
      <c r="N170" s="68">
        <f t="shared" si="53"/>
        <v>903.22580645161281</v>
      </c>
      <c r="O170" s="68"/>
      <c r="P170" s="68">
        <f>((5248)/I$3)*I170</f>
        <v>5925.1612903225805</v>
      </c>
      <c r="Q170" s="68">
        <v>0</v>
      </c>
      <c r="R170" s="68">
        <v>0</v>
      </c>
      <c r="S170" s="68">
        <f t="shared" si="42"/>
        <v>12755.806451612902</v>
      </c>
      <c r="T170" s="69">
        <f t="shared" si="43"/>
        <v>677.41935483870964</v>
      </c>
      <c r="U170" s="69">
        <f t="shared" si="56"/>
        <v>224</v>
      </c>
      <c r="V170" s="68">
        <v>0</v>
      </c>
      <c r="W170" s="68">
        <v>12</v>
      </c>
      <c r="X170" s="68">
        <f t="shared" si="44"/>
        <v>913.41935483870964</v>
      </c>
      <c r="Y170" s="68">
        <f t="shared" si="45"/>
        <v>11842.387096774191</v>
      </c>
      <c r="Z170" s="68"/>
      <c r="AA170" s="68">
        <f t="shared" si="46"/>
        <v>11842.387096774191</v>
      </c>
      <c r="AB170" s="69">
        <f t="shared" si="47"/>
        <v>742.33870967741939</v>
      </c>
      <c r="AC170" s="69">
        <f t="shared" si="48"/>
        <v>606</v>
      </c>
      <c r="AD170" s="70">
        <f t="shared" si="49"/>
        <v>36</v>
      </c>
      <c r="AE170" s="71">
        <f t="shared" si="50"/>
        <v>1384.3387096774195</v>
      </c>
      <c r="AF170" s="71">
        <f t="shared" si="51"/>
        <v>14140.145161290322</v>
      </c>
    </row>
    <row r="171" spans="1:32" x14ac:dyDescent="0.2">
      <c r="A171" s="64" t="s">
        <v>1100</v>
      </c>
      <c r="B171" s="65">
        <v>166</v>
      </c>
      <c r="C171" s="65" t="s">
        <v>357</v>
      </c>
      <c r="D171" s="64" t="s">
        <v>1100</v>
      </c>
      <c r="E171" s="66" t="s">
        <v>50</v>
      </c>
      <c r="F171" s="65" t="s">
        <v>234</v>
      </c>
      <c r="G171" s="67">
        <v>43081</v>
      </c>
      <c r="H171" s="67"/>
      <c r="I171" s="65">
        <v>24</v>
      </c>
      <c r="J171" s="68">
        <f t="shared" si="55"/>
        <v>3870.9677419354839</v>
      </c>
      <c r="K171" s="68">
        <f t="shared" si="40"/>
        <v>0</v>
      </c>
      <c r="L171" s="68">
        <f t="shared" si="41"/>
        <v>193.54838709677421</v>
      </c>
      <c r="M171" s="68"/>
      <c r="N171" s="68">
        <f t="shared" si="53"/>
        <v>619.35483870967732</v>
      </c>
      <c r="O171" s="68"/>
      <c r="P171" s="68">
        <f>((5248)/I$3)*I171</f>
        <v>4062.9677419354839</v>
      </c>
      <c r="Q171" s="68">
        <v>0</v>
      </c>
      <c r="R171" s="68">
        <v>0</v>
      </c>
      <c r="S171" s="68">
        <f t="shared" si="42"/>
        <v>8746.8387096774204</v>
      </c>
      <c r="T171" s="69">
        <f t="shared" si="43"/>
        <v>464.51612903225805</v>
      </c>
      <c r="U171" s="69">
        <f t="shared" si="56"/>
        <v>154</v>
      </c>
      <c r="V171" s="68">
        <v>0</v>
      </c>
      <c r="W171" s="68">
        <v>12</v>
      </c>
      <c r="X171" s="68">
        <f t="shared" si="44"/>
        <v>630.51612903225805</v>
      </c>
      <c r="Y171" s="68">
        <f t="shared" si="45"/>
        <v>8116.3225806451628</v>
      </c>
      <c r="Z171" s="68"/>
      <c r="AA171" s="68">
        <f t="shared" si="46"/>
        <v>8116.3225806451628</v>
      </c>
      <c r="AB171" s="69">
        <f t="shared" si="47"/>
        <v>509.03225806451616</v>
      </c>
      <c r="AC171" s="69">
        <f t="shared" si="48"/>
        <v>416</v>
      </c>
      <c r="AD171" s="70">
        <f t="shared" si="49"/>
        <v>36</v>
      </c>
      <c r="AE171" s="71">
        <f t="shared" si="50"/>
        <v>961.0322580645161</v>
      </c>
      <c r="AF171" s="71">
        <f t="shared" si="51"/>
        <v>9707.8709677419356</v>
      </c>
    </row>
    <row r="172" spans="1:32" x14ac:dyDescent="0.2">
      <c r="A172" s="64" t="s">
        <v>1101</v>
      </c>
      <c r="B172" s="65">
        <v>167</v>
      </c>
      <c r="C172" s="65" t="s">
        <v>959</v>
      </c>
      <c r="D172" s="64" t="s">
        <v>1101</v>
      </c>
      <c r="E172" s="66" t="s">
        <v>50</v>
      </c>
      <c r="F172" s="66" t="s">
        <v>234</v>
      </c>
      <c r="G172" s="67">
        <v>42963</v>
      </c>
      <c r="H172" s="67"/>
      <c r="I172" s="65">
        <v>28</v>
      </c>
      <c r="J172" s="68">
        <f t="shared" si="55"/>
        <v>4516.1290322580644</v>
      </c>
      <c r="K172" s="68">
        <f t="shared" si="40"/>
        <v>0</v>
      </c>
      <c r="L172" s="68">
        <f t="shared" si="41"/>
        <v>225.80645161290323</v>
      </c>
      <c r="M172" s="68"/>
      <c r="N172" s="68">
        <f t="shared" si="53"/>
        <v>722.58064516129025</v>
      </c>
      <c r="O172" s="68"/>
      <c r="P172" s="68">
        <f>((5248)/I$3)*I172</f>
        <v>4740.1290322580644</v>
      </c>
      <c r="Q172" s="68">
        <v>0</v>
      </c>
      <c r="R172" s="68">
        <v>0</v>
      </c>
      <c r="S172" s="68">
        <f t="shared" si="42"/>
        <v>10204.645161290322</v>
      </c>
      <c r="T172" s="69">
        <f t="shared" si="43"/>
        <v>541.93548387096769</v>
      </c>
      <c r="U172" s="69">
        <f t="shared" si="56"/>
        <v>179</v>
      </c>
      <c r="V172" s="68">
        <v>0</v>
      </c>
      <c r="W172" s="68">
        <v>12</v>
      </c>
      <c r="X172" s="68">
        <f t="shared" si="44"/>
        <v>732.93548387096769</v>
      </c>
      <c r="Y172" s="68">
        <f t="shared" si="45"/>
        <v>9471.7096774193542</v>
      </c>
      <c r="Z172" s="68"/>
      <c r="AA172" s="68">
        <f t="shared" si="46"/>
        <v>9471.7096774193542</v>
      </c>
      <c r="AB172" s="69">
        <f t="shared" si="47"/>
        <v>593.87096774193549</v>
      </c>
      <c r="AC172" s="69">
        <f t="shared" si="48"/>
        <v>485</v>
      </c>
      <c r="AD172" s="70">
        <f t="shared" si="49"/>
        <v>36</v>
      </c>
      <c r="AE172" s="71">
        <f t="shared" si="50"/>
        <v>1114.8709677419356</v>
      </c>
      <c r="AF172" s="71">
        <f t="shared" si="51"/>
        <v>11319.516129032258</v>
      </c>
    </row>
    <row r="173" spans="1:32" x14ac:dyDescent="0.2">
      <c r="A173" s="64" t="s">
        <v>1102</v>
      </c>
      <c r="B173" s="65">
        <v>168</v>
      </c>
      <c r="C173" s="65" t="s">
        <v>1493</v>
      </c>
      <c r="D173" s="64" t="s">
        <v>1102</v>
      </c>
      <c r="E173" s="66" t="s">
        <v>50</v>
      </c>
      <c r="F173" s="65" t="s">
        <v>234</v>
      </c>
      <c r="G173" s="67">
        <v>42964</v>
      </c>
      <c r="H173" s="67"/>
      <c r="I173" s="65">
        <v>3</v>
      </c>
      <c r="J173" s="68">
        <f>(5000/30)*I173</f>
        <v>500</v>
      </c>
      <c r="K173" s="68">
        <f t="shared" si="40"/>
        <v>0</v>
      </c>
      <c r="L173" s="68">
        <f t="shared" si="41"/>
        <v>25</v>
      </c>
      <c r="M173" s="68"/>
      <c r="N173" s="68">
        <f>((800)/30)*I173</f>
        <v>80</v>
      </c>
      <c r="O173" s="68"/>
      <c r="P173" s="68">
        <f>((5248)/30)*I173</f>
        <v>524.79999999999995</v>
      </c>
      <c r="Q173" s="68">
        <v>0</v>
      </c>
      <c r="R173" s="68">
        <v>0</v>
      </c>
      <c r="S173" s="68">
        <f t="shared" si="42"/>
        <v>1129.8</v>
      </c>
      <c r="T173" s="69">
        <f t="shared" si="43"/>
        <v>60</v>
      </c>
      <c r="U173" s="69">
        <f t="shared" si="56"/>
        <v>20</v>
      </c>
      <c r="V173" s="68">
        <v>0</v>
      </c>
      <c r="W173" s="68">
        <v>0</v>
      </c>
      <c r="X173" s="68">
        <f t="shared" si="44"/>
        <v>80</v>
      </c>
      <c r="Y173" s="68">
        <f t="shared" si="45"/>
        <v>1049.8</v>
      </c>
      <c r="Z173" s="68"/>
      <c r="AA173" s="68">
        <f t="shared" si="46"/>
        <v>1049.8</v>
      </c>
      <c r="AB173" s="69">
        <f t="shared" si="47"/>
        <v>65.75</v>
      </c>
      <c r="AC173" s="69">
        <f t="shared" si="48"/>
        <v>54</v>
      </c>
      <c r="AD173" s="70">
        <f t="shared" si="49"/>
        <v>0</v>
      </c>
      <c r="AE173" s="71">
        <f t="shared" si="50"/>
        <v>119.75</v>
      </c>
      <c r="AF173" s="71">
        <f t="shared" si="51"/>
        <v>1249.55</v>
      </c>
    </row>
    <row r="174" spans="1:32" x14ac:dyDescent="0.2">
      <c r="A174" s="64" t="s">
        <v>1103</v>
      </c>
      <c r="B174" s="65">
        <v>169</v>
      </c>
      <c r="C174" s="65" t="s">
        <v>963</v>
      </c>
      <c r="D174" s="64" t="s">
        <v>1103</v>
      </c>
      <c r="E174" s="66" t="s">
        <v>50</v>
      </c>
      <c r="F174" s="66" t="s">
        <v>234</v>
      </c>
      <c r="G174" s="67">
        <v>42972</v>
      </c>
      <c r="H174" s="67"/>
      <c r="I174" s="65">
        <v>29</v>
      </c>
      <c r="J174" s="68">
        <f t="shared" ref="J174:J203" si="57">(5000/I$3)*I174</f>
        <v>4677.4193548387093</v>
      </c>
      <c r="K174" s="68">
        <f t="shared" si="40"/>
        <v>0</v>
      </c>
      <c r="L174" s="68">
        <f t="shared" si="41"/>
        <v>233.87096774193549</v>
      </c>
      <c r="M174" s="68"/>
      <c r="N174" s="68">
        <f t="shared" ref="N174:N203" si="58">((800)/I$3)*I174</f>
        <v>748.38709677419354</v>
      </c>
      <c r="O174" s="68"/>
      <c r="P174" s="68">
        <f>((5248)/I$3)*I174</f>
        <v>4909.4193548387093</v>
      </c>
      <c r="Q174" s="68">
        <v>0</v>
      </c>
      <c r="R174" s="68">
        <v>0</v>
      </c>
      <c r="S174" s="68">
        <f t="shared" si="42"/>
        <v>10569.096774193547</v>
      </c>
      <c r="T174" s="69">
        <f t="shared" si="43"/>
        <v>561.29032258064512</v>
      </c>
      <c r="U174" s="69">
        <f t="shared" si="56"/>
        <v>185</v>
      </c>
      <c r="V174" s="68">
        <v>0</v>
      </c>
      <c r="W174" s="68">
        <v>12</v>
      </c>
      <c r="X174" s="68">
        <f t="shared" si="44"/>
        <v>758.29032258064512</v>
      </c>
      <c r="Y174" s="68">
        <f t="shared" si="45"/>
        <v>9810.8064516129016</v>
      </c>
      <c r="Z174" s="68"/>
      <c r="AA174" s="68">
        <f t="shared" si="46"/>
        <v>9810.8064516129016</v>
      </c>
      <c r="AB174" s="69">
        <f t="shared" si="47"/>
        <v>615.08064516129025</v>
      </c>
      <c r="AC174" s="69">
        <f t="shared" si="48"/>
        <v>503</v>
      </c>
      <c r="AD174" s="70">
        <f t="shared" si="49"/>
        <v>36</v>
      </c>
      <c r="AE174" s="71">
        <f t="shared" si="50"/>
        <v>1154.0806451612902</v>
      </c>
      <c r="AF174" s="71">
        <f t="shared" si="51"/>
        <v>11723.177419354837</v>
      </c>
    </row>
    <row r="175" spans="1:32" x14ac:dyDescent="0.2">
      <c r="A175" s="64" t="s">
        <v>1116</v>
      </c>
      <c r="B175" s="65">
        <v>170</v>
      </c>
      <c r="C175" s="65" t="s">
        <v>980</v>
      </c>
      <c r="D175" s="64" t="s">
        <v>1116</v>
      </c>
      <c r="E175" s="66" t="s">
        <v>50</v>
      </c>
      <c r="F175" s="66" t="s">
        <v>484</v>
      </c>
      <c r="G175" s="67">
        <v>42957</v>
      </c>
      <c r="H175" s="67"/>
      <c r="I175" s="65">
        <v>32</v>
      </c>
      <c r="J175" s="68">
        <f t="shared" si="57"/>
        <v>5161.2903225806449</v>
      </c>
      <c r="K175" s="68">
        <f t="shared" si="40"/>
        <v>0</v>
      </c>
      <c r="L175" s="68">
        <f t="shared" si="41"/>
        <v>258.06451612903226</v>
      </c>
      <c r="M175" s="68"/>
      <c r="N175" s="68">
        <f t="shared" si="58"/>
        <v>825.80645161290317</v>
      </c>
      <c r="O175" s="68"/>
      <c r="P175" s="68">
        <f>((4230)/I$3)*I175</f>
        <v>4366.4516129032254</v>
      </c>
      <c r="Q175" s="68">
        <v>0</v>
      </c>
      <c r="R175" s="68">
        <v>0</v>
      </c>
      <c r="S175" s="68">
        <f t="shared" si="42"/>
        <v>10611.612903225807</v>
      </c>
      <c r="T175" s="69">
        <f t="shared" si="43"/>
        <v>619.35483870967732</v>
      </c>
      <c r="U175" s="69">
        <f t="shared" si="56"/>
        <v>186</v>
      </c>
      <c r="V175" s="68">
        <v>0</v>
      </c>
      <c r="W175" s="68">
        <v>12</v>
      </c>
      <c r="X175" s="68">
        <f t="shared" si="44"/>
        <v>817.35483870967732</v>
      </c>
      <c r="Y175" s="68">
        <f t="shared" si="45"/>
        <v>9794.2580645161288</v>
      </c>
      <c r="Z175" s="68"/>
      <c r="AA175" s="68">
        <f t="shared" si="46"/>
        <v>9794.2580645161288</v>
      </c>
      <c r="AB175" s="69">
        <f t="shared" si="47"/>
        <v>678.70967741935488</v>
      </c>
      <c r="AC175" s="69">
        <f t="shared" si="48"/>
        <v>505</v>
      </c>
      <c r="AD175" s="70">
        <f t="shared" si="49"/>
        <v>36</v>
      </c>
      <c r="AE175" s="71">
        <f t="shared" si="50"/>
        <v>1219.7096774193549</v>
      </c>
      <c r="AF175" s="71">
        <f t="shared" si="51"/>
        <v>11831.322580645161</v>
      </c>
    </row>
    <row r="176" spans="1:32" x14ac:dyDescent="0.2">
      <c r="A176" s="64" t="s">
        <v>1119</v>
      </c>
      <c r="B176" s="65">
        <v>171</v>
      </c>
      <c r="C176" s="65" t="s">
        <v>983</v>
      </c>
      <c r="D176" s="64" t="s">
        <v>1119</v>
      </c>
      <c r="E176" s="66" t="s">
        <v>50</v>
      </c>
      <c r="F176" s="66" t="s">
        <v>708</v>
      </c>
      <c r="G176" s="67">
        <v>42948</v>
      </c>
      <c r="H176" s="67"/>
      <c r="I176" s="65">
        <v>32</v>
      </c>
      <c r="J176" s="68">
        <f t="shared" si="57"/>
        <v>5161.2903225806449</v>
      </c>
      <c r="K176" s="68">
        <f t="shared" si="40"/>
        <v>0</v>
      </c>
      <c r="L176" s="68">
        <f t="shared" si="41"/>
        <v>258.06451612903226</v>
      </c>
      <c r="M176" s="68"/>
      <c r="N176" s="68">
        <f t="shared" si="58"/>
        <v>825.80645161290317</v>
      </c>
      <c r="O176" s="68"/>
      <c r="P176" s="68">
        <f>((4230)/I$3)*I176</f>
        <v>4366.4516129032254</v>
      </c>
      <c r="Q176" s="68">
        <v>0</v>
      </c>
      <c r="R176" s="68">
        <v>0</v>
      </c>
      <c r="S176" s="68">
        <f t="shared" si="42"/>
        <v>10611.612903225807</v>
      </c>
      <c r="T176" s="69">
        <f t="shared" si="43"/>
        <v>619.35483870967732</v>
      </c>
      <c r="U176" s="69">
        <f t="shared" si="56"/>
        <v>186</v>
      </c>
      <c r="V176" s="68">
        <v>0</v>
      </c>
      <c r="W176" s="68">
        <v>12</v>
      </c>
      <c r="X176" s="68">
        <f t="shared" si="44"/>
        <v>817.35483870967732</v>
      </c>
      <c r="Y176" s="68">
        <f t="shared" si="45"/>
        <v>9794.2580645161288</v>
      </c>
      <c r="Z176" s="68"/>
      <c r="AA176" s="68">
        <f t="shared" si="46"/>
        <v>9794.2580645161288</v>
      </c>
      <c r="AB176" s="69">
        <f t="shared" si="47"/>
        <v>678.70967741935488</v>
      </c>
      <c r="AC176" s="69">
        <f t="shared" si="48"/>
        <v>505</v>
      </c>
      <c r="AD176" s="70">
        <f t="shared" si="49"/>
        <v>36</v>
      </c>
      <c r="AE176" s="71">
        <f t="shared" si="50"/>
        <v>1219.7096774193549</v>
      </c>
      <c r="AF176" s="71">
        <f t="shared" si="51"/>
        <v>11831.322580645161</v>
      </c>
    </row>
    <row r="177" spans="1:32" x14ac:dyDescent="0.2">
      <c r="A177" s="64" t="s">
        <v>1292</v>
      </c>
      <c r="B177" s="65">
        <v>172</v>
      </c>
      <c r="C177" s="65" t="s">
        <v>1040</v>
      </c>
      <c r="D177" s="64" t="s">
        <v>1292</v>
      </c>
      <c r="E177" s="66" t="s">
        <v>50</v>
      </c>
      <c r="F177" s="66" t="s">
        <v>242</v>
      </c>
      <c r="G177" s="67">
        <v>42983</v>
      </c>
      <c r="H177" s="67"/>
      <c r="I177" s="65">
        <v>37</v>
      </c>
      <c r="J177" s="68">
        <f t="shared" si="57"/>
        <v>5967.7419354838703</v>
      </c>
      <c r="K177" s="68">
        <f t="shared" si="40"/>
        <v>0</v>
      </c>
      <c r="L177" s="68">
        <f t="shared" si="41"/>
        <v>298.38709677419354</v>
      </c>
      <c r="M177" s="68"/>
      <c r="N177" s="68">
        <f t="shared" si="58"/>
        <v>954.83870967741927</v>
      </c>
      <c r="O177" s="68"/>
      <c r="P177" s="68">
        <f>((4230)/I$3)*I177</f>
        <v>5048.7096774193542</v>
      </c>
      <c r="Q177" s="68">
        <v>0</v>
      </c>
      <c r="R177" s="68">
        <v>0</v>
      </c>
      <c r="S177" s="68">
        <f t="shared" si="42"/>
        <v>12269.677419354837</v>
      </c>
      <c r="T177" s="69">
        <f t="shared" si="43"/>
        <v>716.1290322580644</v>
      </c>
      <c r="U177" s="69">
        <f t="shared" si="56"/>
        <v>215</v>
      </c>
      <c r="V177" s="68">
        <v>0</v>
      </c>
      <c r="W177" s="68">
        <v>12</v>
      </c>
      <c r="X177" s="68">
        <f t="shared" si="44"/>
        <v>943.1290322580644</v>
      </c>
      <c r="Y177" s="68">
        <f t="shared" si="45"/>
        <v>11326.548387096773</v>
      </c>
      <c r="Z177" s="68"/>
      <c r="AA177" s="68">
        <f t="shared" si="46"/>
        <v>11326.548387096773</v>
      </c>
      <c r="AB177" s="69">
        <f t="shared" si="47"/>
        <v>784.75806451612902</v>
      </c>
      <c r="AC177" s="69">
        <f t="shared" si="48"/>
        <v>583</v>
      </c>
      <c r="AD177" s="70">
        <f t="shared" si="49"/>
        <v>36</v>
      </c>
      <c r="AE177" s="71">
        <f t="shared" si="50"/>
        <v>1403.758064516129</v>
      </c>
      <c r="AF177" s="71">
        <f t="shared" si="51"/>
        <v>13673.435483870966</v>
      </c>
    </row>
    <row r="178" spans="1:32" x14ac:dyDescent="0.2">
      <c r="A178" s="64" t="s">
        <v>1294</v>
      </c>
      <c r="B178" s="65">
        <v>173</v>
      </c>
      <c r="C178" s="65" t="s">
        <v>1042</v>
      </c>
      <c r="D178" s="64" t="s">
        <v>1294</v>
      </c>
      <c r="E178" s="66" t="s">
        <v>50</v>
      </c>
      <c r="F178" s="66" t="s">
        <v>238</v>
      </c>
      <c r="G178" s="67">
        <v>43004</v>
      </c>
      <c r="H178" s="67"/>
      <c r="I178" s="65">
        <v>36</v>
      </c>
      <c r="J178" s="68">
        <f t="shared" si="57"/>
        <v>5806.4516129032254</v>
      </c>
      <c r="K178" s="68">
        <f t="shared" si="40"/>
        <v>0</v>
      </c>
      <c r="L178" s="68">
        <f t="shared" si="41"/>
        <v>290.32258064516128</v>
      </c>
      <c r="M178" s="68"/>
      <c r="N178" s="68">
        <f t="shared" si="58"/>
        <v>929.0322580645161</v>
      </c>
      <c r="O178" s="68"/>
      <c r="P178" s="68">
        <f>((5248)/I$3)*I178</f>
        <v>6094.4516129032254</v>
      </c>
      <c r="Q178" s="68">
        <v>0</v>
      </c>
      <c r="R178" s="68">
        <v>0</v>
      </c>
      <c r="S178" s="68">
        <f t="shared" si="42"/>
        <v>13120.258064516129</v>
      </c>
      <c r="T178" s="69">
        <f t="shared" si="43"/>
        <v>696.77419354838707</v>
      </c>
      <c r="U178" s="69">
        <f t="shared" si="56"/>
        <v>230</v>
      </c>
      <c r="V178" s="68">
        <v>0</v>
      </c>
      <c r="W178" s="68">
        <v>12</v>
      </c>
      <c r="X178" s="68">
        <f t="shared" si="44"/>
        <v>938.77419354838707</v>
      </c>
      <c r="Y178" s="68">
        <f t="shared" si="45"/>
        <v>12181.483870967742</v>
      </c>
      <c r="Z178" s="68"/>
      <c r="AA178" s="68">
        <f t="shared" si="46"/>
        <v>12181.483870967742</v>
      </c>
      <c r="AB178" s="69">
        <f t="shared" si="47"/>
        <v>763.54838709677415</v>
      </c>
      <c r="AC178" s="69">
        <f t="shared" si="48"/>
        <v>624</v>
      </c>
      <c r="AD178" s="70">
        <f t="shared" si="49"/>
        <v>36</v>
      </c>
      <c r="AE178" s="71">
        <f t="shared" si="50"/>
        <v>1423.5483870967741</v>
      </c>
      <c r="AF178" s="71">
        <f t="shared" si="51"/>
        <v>14543.806451612903</v>
      </c>
    </row>
    <row r="179" spans="1:32" x14ac:dyDescent="0.2">
      <c r="A179" s="64" t="s">
        <v>1295</v>
      </c>
      <c r="B179" s="65">
        <v>174</v>
      </c>
      <c r="C179" s="65" t="s">
        <v>1043</v>
      </c>
      <c r="D179" s="64" t="s">
        <v>1295</v>
      </c>
      <c r="E179" s="66" t="s">
        <v>50</v>
      </c>
      <c r="F179" s="66" t="s">
        <v>239</v>
      </c>
      <c r="G179" s="67">
        <v>42990</v>
      </c>
      <c r="H179" s="67"/>
      <c r="I179" s="65">
        <v>34</v>
      </c>
      <c r="J179" s="68">
        <f t="shared" si="57"/>
        <v>5483.8709677419356</v>
      </c>
      <c r="K179" s="68">
        <f t="shared" si="40"/>
        <v>0</v>
      </c>
      <c r="L179" s="68">
        <f t="shared" si="41"/>
        <v>274.19354838709677</v>
      </c>
      <c r="M179" s="68"/>
      <c r="N179" s="68">
        <f t="shared" si="58"/>
        <v>877.41935483870964</v>
      </c>
      <c r="O179" s="68"/>
      <c r="P179" s="68">
        <f>((4230)/I$3)*I179</f>
        <v>4639.3548387096771</v>
      </c>
      <c r="Q179" s="68">
        <v>0</v>
      </c>
      <c r="R179" s="68">
        <v>0</v>
      </c>
      <c r="S179" s="68">
        <f t="shared" si="42"/>
        <v>11274.838709677419</v>
      </c>
      <c r="T179" s="69">
        <f t="shared" si="43"/>
        <v>658.0645161290322</v>
      </c>
      <c r="U179" s="69">
        <f t="shared" si="56"/>
        <v>198</v>
      </c>
      <c r="V179" s="68">
        <v>0</v>
      </c>
      <c r="W179" s="68">
        <v>12</v>
      </c>
      <c r="X179" s="68">
        <f t="shared" si="44"/>
        <v>868.0645161290322</v>
      </c>
      <c r="Y179" s="68">
        <f t="shared" si="45"/>
        <v>10406.774193548386</v>
      </c>
      <c r="Z179" s="68"/>
      <c r="AA179" s="68">
        <f t="shared" si="46"/>
        <v>10406.774193548386</v>
      </c>
      <c r="AB179" s="69">
        <f t="shared" si="47"/>
        <v>721.12903225806451</v>
      </c>
      <c r="AC179" s="69">
        <f t="shared" si="48"/>
        <v>536</v>
      </c>
      <c r="AD179" s="70">
        <f t="shared" si="49"/>
        <v>36</v>
      </c>
      <c r="AE179" s="71">
        <f t="shared" si="50"/>
        <v>1293.1290322580644</v>
      </c>
      <c r="AF179" s="71">
        <f t="shared" si="51"/>
        <v>12567.967741935483</v>
      </c>
    </row>
    <row r="180" spans="1:32" x14ac:dyDescent="0.2">
      <c r="A180" s="64" t="s">
        <v>1296</v>
      </c>
      <c r="B180" s="65">
        <v>175</v>
      </c>
      <c r="C180" s="65" t="s">
        <v>1044</v>
      </c>
      <c r="D180" s="64" t="s">
        <v>1296</v>
      </c>
      <c r="E180" s="66" t="s">
        <v>50</v>
      </c>
      <c r="F180" s="66" t="s">
        <v>239</v>
      </c>
      <c r="G180" s="67">
        <v>42972</v>
      </c>
      <c r="H180" s="67"/>
      <c r="I180" s="65">
        <v>31</v>
      </c>
      <c r="J180" s="68">
        <f t="shared" si="57"/>
        <v>5000</v>
      </c>
      <c r="K180" s="68">
        <f t="shared" si="40"/>
        <v>0</v>
      </c>
      <c r="L180" s="68">
        <f t="shared" si="41"/>
        <v>250</v>
      </c>
      <c r="M180" s="68"/>
      <c r="N180" s="68">
        <f t="shared" si="58"/>
        <v>800</v>
      </c>
      <c r="O180" s="68"/>
      <c r="P180" s="68">
        <f>((5248)/I$3)*I180</f>
        <v>5248</v>
      </c>
      <c r="Q180" s="68">
        <v>0</v>
      </c>
      <c r="R180" s="68">
        <v>0</v>
      </c>
      <c r="S180" s="68">
        <f t="shared" si="42"/>
        <v>11298</v>
      </c>
      <c r="T180" s="69">
        <f t="shared" si="43"/>
        <v>600</v>
      </c>
      <c r="U180" s="69">
        <f t="shared" si="56"/>
        <v>198</v>
      </c>
      <c r="V180" s="68">
        <v>0</v>
      </c>
      <c r="W180" s="68">
        <v>12</v>
      </c>
      <c r="X180" s="68">
        <f t="shared" si="44"/>
        <v>810</v>
      </c>
      <c r="Y180" s="68">
        <f t="shared" si="45"/>
        <v>10488</v>
      </c>
      <c r="Z180" s="68"/>
      <c r="AA180" s="68">
        <f t="shared" si="46"/>
        <v>10488</v>
      </c>
      <c r="AB180" s="69">
        <f t="shared" si="47"/>
        <v>657.5</v>
      </c>
      <c r="AC180" s="69">
        <f t="shared" si="48"/>
        <v>537</v>
      </c>
      <c r="AD180" s="70">
        <f t="shared" si="49"/>
        <v>36</v>
      </c>
      <c r="AE180" s="71">
        <f t="shared" si="50"/>
        <v>1230.5</v>
      </c>
      <c r="AF180" s="71">
        <f t="shared" si="51"/>
        <v>12528.5</v>
      </c>
    </row>
    <row r="181" spans="1:32" x14ac:dyDescent="0.2">
      <c r="A181" s="64" t="s">
        <v>1297</v>
      </c>
      <c r="B181" s="65">
        <v>176</v>
      </c>
      <c r="C181" s="65" t="s">
        <v>1045</v>
      </c>
      <c r="D181" s="64" t="s">
        <v>1297</v>
      </c>
      <c r="E181" s="66" t="s">
        <v>50</v>
      </c>
      <c r="F181" s="66" t="s">
        <v>581</v>
      </c>
      <c r="G181" s="67">
        <v>42979</v>
      </c>
      <c r="H181" s="67"/>
      <c r="I181" s="65">
        <v>35</v>
      </c>
      <c r="J181" s="68">
        <f t="shared" si="57"/>
        <v>5645.1612903225805</v>
      </c>
      <c r="K181" s="68">
        <f t="shared" si="40"/>
        <v>0</v>
      </c>
      <c r="L181" s="68">
        <f t="shared" si="41"/>
        <v>282.25806451612902</v>
      </c>
      <c r="M181" s="68"/>
      <c r="N181" s="68">
        <f t="shared" si="58"/>
        <v>903.22580645161281</v>
      </c>
      <c r="O181" s="68"/>
      <c r="P181" s="68">
        <f>((4230)/I$3)*I181</f>
        <v>4775.8064516129025</v>
      </c>
      <c r="Q181" s="68">
        <v>0</v>
      </c>
      <c r="R181" s="68">
        <v>0</v>
      </c>
      <c r="S181" s="68">
        <f t="shared" si="42"/>
        <v>11606.451612903224</v>
      </c>
      <c r="T181" s="69">
        <f t="shared" si="43"/>
        <v>677.41935483870964</v>
      </c>
      <c r="U181" s="69">
        <f t="shared" si="56"/>
        <v>204</v>
      </c>
      <c r="V181" s="68">
        <v>0</v>
      </c>
      <c r="W181" s="68">
        <v>12</v>
      </c>
      <c r="X181" s="68">
        <f t="shared" si="44"/>
        <v>893.41935483870964</v>
      </c>
      <c r="Y181" s="68">
        <f t="shared" si="45"/>
        <v>10713.032258064513</v>
      </c>
      <c r="Z181" s="68"/>
      <c r="AA181" s="68">
        <f t="shared" si="46"/>
        <v>10713.032258064513</v>
      </c>
      <c r="AB181" s="69">
        <f t="shared" si="47"/>
        <v>742.33870967741939</v>
      </c>
      <c r="AC181" s="69">
        <f t="shared" si="48"/>
        <v>552</v>
      </c>
      <c r="AD181" s="70">
        <f t="shared" si="49"/>
        <v>36</v>
      </c>
      <c r="AE181" s="71">
        <f t="shared" si="50"/>
        <v>1330.3387096774195</v>
      </c>
      <c r="AF181" s="71">
        <f t="shared" si="51"/>
        <v>12936.790322580644</v>
      </c>
    </row>
    <row r="182" spans="1:32" x14ac:dyDescent="0.2">
      <c r="A182" s="64" t="s">
        <v>1168</v>
      </c>
      <c r="B182" s="65">
        <v>177</v>
      </c>
      <c r="C182" s="65" t="s">
        <v>949</v>
      </c>
      <c r="D182" s="64" t="s">
        <v>1168</v>
      </c>
      <c r="E182" s="66" t="s">
        <v>50</v>
      </c>
      <c r="F182" s="66" t="s">
        <v>581</v>
      </c>
      <c r="G182" s="67">
        <v>42977</v>
      </c>
      <c r="H182" s="67"/>
      <c r="I182" s="65">
        <v>35</v>
      </c>
      <c r="J182" s="68">
        <f t="shared" si="57"/>
        <v>5645.1612903225805</v>
      </c>
      <c r="K182" s="68">
        <f t="shared" si="40"/>
        <v>0</v>
      </c>
      <c r="L182" s="68">
        <f t="shared" si="41"/>
        <v>282.25806451612902</v>
      </c>
      <c r="M182" s="68"/>
      <c r="N182" s="68">
        <f t="shared" si="58"/>
        <v>903.22580645161281</v>
      </c>
      <c r="O182" s="68"/>
      <c r="P182" s="68">
        <f>((8811)/I$3)*I182</f>
        <v>9947.9032258064526</v>
      </c>
      <c r="Q182" s="68">
        <v>0</v>
      </c>
      <c r="R182" s="68">
        <v>0</v>
      </c>
      <c r="S182" s="68">
        <f t="shared" si="42"/>
        <v>16778.548387096773</v>
      </c>
      <c r="T182" s="69">
        <f t="shared" si="43"/>
        <v>677.41935483870964</v>
      </c>
      <c r="U182" s="69">
        <f t="shared" si="56"/>
        <v>294</v>
      </c>
      <c r="V182" s="68">
        <v>0</v>
      </c>
      <c r="W182" s="68">
        <v>12</v>
      </c>
      <c r="X182" s="68">
        <f t="shared" si="44"/>
        <v>983.41935483870964</v>
      </c>
      <c r="Y182" s="68">
        <f t="shared" si="45"/>
        <v>15795.129032258063</v>
      </c>
      <c r="Z182" s="68"/>
      <c r="AA182" s="68">
        <f t="shared" si="46"/>
        <v>15795.129032258063</v>
      </c>
      <c r="AB182" s="69">
        <f t="shared" si="47"/>
        <v>742.33870967741939</v>
      </c>
      <c r="AC182" s="69">
        <f t="shared" si="48"/>
        <v>797</v>
      </c>
      <c r="AD182" s="70">
        <f t="shared" si="49"/>
        <v>36</v>
      </c>
      <c r="AE182" s="71">
        <f t="shared" si="50"/>
        <v>1575.3387096774195</v>
      </c>
      <c r="AF182" s="71">
        <f t="shared" si="51"/>
        <v>18353.887096774193</v>
      </c>
    </row>
    <row r="183" spans="1:32" x14ac:dyDescent="0.2">
      <c r="A183" s="64" t="s">
        <v>1298</v>
      </c>
      <c r="B183" s="65">
        <v>178</v>
      </c>
      <c r="C183" s="65" t="s">
        <v>403</v>
      </c>
      <c r="D183" s="64" t="s">
        <v>1298</v>
      </c>
      <c r="E183" s="66" t="s">
        <v>50</v>
      </c>
      <c r="F183" s="66" t="s">
        <v>581</v>
      </c>
      <c r="G183" s="67">
        <v>42992</v>
      </c>
      <c r="H183" s="67"/>
      <c r="I183" s="65">
        <v>31</v>
      </c>
      <c r="J183" s="68">
        <f t="shared" si="57"/>
        <v>5000</v>
      </c>
      <c r="K183" s="68">
        <f t="shared" si="40"/>
        <v>0</v>
      </c>
      <c r="L183" s="68">
        <f t="shared" si="41"/>
        <v>250</v>
      </c>
      <c r="M183" s="68"/>
      <c r="N183" s="68">
        <f t="shared" si="58"/>
        <v>800</v>
      </c>
      <c r="O183" s="68"/>
      <c r="P183" s="68">
        <f>((5248+1527)/I$3)*I183</f>
        <v>6775</v>
      </c>
      <c r="Q183" s="68">
        <v>0</v>
      </c>
      <c r="R183" s="68">
        <v>0</v>
      </c>
      <c r="S183" s="68">
        <f t="shared" si="42"/>
        <v>12825</v>
      </c>
      <c r="T183" s="69">
        <f t="shared" si="43"/>
        <v>600</v>
      </c>
      <c r="U183" s="69">
        <f t="shared" si="56"/>
        <v>225</v>
      </c>
      <c r="V183" s="68">
        <v>0</v>
      </c>
      <c r="W183" s="68">
        <v>12</v>
      </c>
      <c r="X183" s="68">
        <f t="shared" si="44"/>
        <v>837</v>
      </c>
      <c r="Y183" s="68">
        <f t="shared" si="45"/>
        <v>11988</v>
      </c>
      <c r="Z183" s="68"/>
      <c r="AA183" s="68">
        <f t="shared" si="46"/>
        <v>11988</v>
      </c>
      <c r="AB183" s="69">
        <f t="shared" si="47"/>
        <v>657.5</v>
      </c>
      <c r="AC183" s="69">
        <f t="shared" si="48"/>
        <v>610</v>
      </c>
      <c r="AD183" s="70">
        <f t="shared" si="49"/>
        <v>36</v>
      </c>
      <c r="AE183" s="71">
        <f t="shared" si="50"/>
        <v>1303.5</v>
      </c>
      <c r="AF183" s="71">
        <f t="shared" si="51"/>
        <v>14128.5</v>
      </c>
    </row>
    <row r="184" spans="1:32" x14ac:dyDescent="0.2">
      <c r="A184" s="64" t="s">
        <v>1299</v>
      </c>
      <c r="B184" s="65">
        <v>179</v>
      </c>
      <c r="C184" s="65" t="s">
        <v>1046</v>
      </c>
      <c r="D184" s="64" t="s">
        <v>1299</v>
      </c>
      <c r="E184" s="66" t="s">
        <v>50</v>
      </c>
      <c r="F184" s="66" t="s">
        <v>581</v>
      </c>
      <c r="G184" s="67">
        <v>42986</v>
      </c>
      <c r="H184" s="67"/>
      <c r="I184" s="65">
        <v>33</v>
      </c>
      <c r="J184" s="68">
        <f t="shared" si="57"/>
        <v>5322.5806451612898</v>
      </c>
      <c r="K184" s="68">
        <f t="shared" si="40"/>
        <v>0</v>
      </c>
      <c r="L184" s="68">
        <f t="shared" si="41"/>
        <v>266.12903225806451</v>
      </c>
      <c r="M184" s="68"/>
      <c r="N184" s="68">
        <f t="shared" si="58"/>
        <v>851.61290322580635</v>
      </c>
      <c r="O184" s="68"/>
      <c r="P184" s="68">
        <f>((5248+509)/I$3)*I184</f>
        <v>6128.4193548387102</v>
      </c>
      <c r="Q184" s="68">
        <v>0</v>
      </c>
      <c r="R184" s="68">
        <v>0</v>
      </c>
      <c r="S184" s="68">
        <f t="shared" si="42"/>
        <v>12568.741935483871</v>
      </c>
      <c r="T184" s="69">
        <f t="shared" si="43"/>
        <v>638.70967741935476</v>
      </c>
      <c r="U184" s="69">
        <f t="shared" si="56"/>
        <v>220</v>
      </c>
      <c r="V184" s="68">
        <v>0</v>
      </c>
      <c r="W184" s="68">
        <v>12</v>
      </c>
      <c r="X184" s="68">
        <f t="shared" si="44"/>
        <v>870.70967741935476</v>
      </c>
      <c r="Y184" s="68">
        <f t="shared" si="45"/>
        <v>11698.032258064517</v>
      </c>
      <c r="Z184" s="68"/>
      <c r="AA184" s="68">
        <f t="shared" si="46"/>
        <v>11698.032258064517</v>
      </c>
      <c r="AB184" s="69">
        <f t="shared" si="47"/>
        <v>699.91935483870964</v>
      </c>
      <c r="AC184" s="69">
        <f t="shared" si="48"/>
        <v>598</v>
      </c>
      <c r="AD184" s="70">
        <f t="shared" si="49"/>
        <v>36</v>
      </c>
      <c r="AE184" s="71">
        <f t="shared" si="50"/>
        <v>1333.9193548387098</v>
      </c>
      <c r="AF184" s="71">
        <f t="shared" si="51"/>
        <v>13902.661290322581</v>
      </c>
    </row>
    <row r="185" spans="1:32" x14ac:dyDescent="0.2">
      <c r="A185" s="64" t="s">
        <v>1301</v>
      </c>
      <c r="B185" s="65">
        <v>180</v>
      </c>
      <c r="C185" s="65" t="s">
        <v>1048</v>
      </c>
      <c r="D185" s="64" t="s">
        <v>1301</v>
      </c>
      <c r="E185" s="66" t="s">
        <v>50</v>
      </c>
      <c r="F185" s="66" t="s">
        <v>241</v>
      </c>
      <c r="G185" s="67">
        <v>42992</v>
      </c>
      <c r="H185" s="67"/>
      <c r="I185" s="65">
        <v>30</v>
      </c>
      <c r="J185" s="68">
        <f t="shared" si="57"/>
        <v>4838.7096774193542</v>
      </c>
      <c r="K185" s="68">
        <f t="shared" si="40"/>
        <v>0</v>
      </c>
      <c r="L185" s="68">
        <f t="shared" si="41"/>
        <v>241.93548387096772</v>
      </c>
      <c r="M185" s="68"/>
      <c r="N185" s="68">
        <f t="shared" si="58"/>
        <v>774.19354838709671</v>
      </c>
      <c r="O185" s="68"/>
      <c r="P185" s="68">
        <f t="shared" ref="P185:P194" si="59">((4230)/I$3)*I185</f>
        <v>4093.5483870967737</v>
      </c>
      <c r="Q185" s="68">
        <v>0</v>
      </c>
      <c r="R185" s="68">
        <v>0</v>
      </c>
      <c r="S185" s="68">
        <f t="shared" si="42"/>
        <v>9948.3870967741932</v>
      </c>
      <c r="T185" s="69">
        <f t="shared" si="43"/>
        <v>580.64516129032245</v>
      </c>
      <c r="U185" s="69">
        <f t="shared" si="56"/>
        <v>175</v>
      </c>
      <c r="V185" s="68">
        <v>0</v>
      </c>
      <c r="W185" s="68">
        <v>12</v>
      </c>
      <c r="X185" s="68">
        <f t="shared" si="44"/>
        <v>767.64516129032245</v>
      </c>
      <c r="Y185" s="68">
        <f t="shared" si="45"/>
        <v>9180.7419354838712</v>
      </c>
      <c r="Z185" s="68"/>
      <c r="AA185" s="68">
        <f t="shared" si="46"/>
        <v>9180.7419354838712</v>
      </c>
      <c r="AB185" s="69">
        <f t="shared" si="47"/>
        <v>636.29032258064512</v>
      </c>
      <c r="AC185" s="69">
        <f t="shared" si="48"/>
        <v>473</v>
      </c>
      <c r="AD185" s="70">
        <f t="shared" si="49"/>
        <v>36</v>
      </c>
      <c r="AE185" s="71">
        <f t="shared" si="50"/>
        <v>1145.2903225806451</v>
      </c>
      <c r="AF185" s="71">
        <f t="shared" si="51"/>
        <v>11093.677419354839</v>
      </c>
    </row>
    <row r="186" spans="1:32" x14ac:dyDescent="0.2">
      <c r="A186" s="64" t="s">
        <v>1303</v>
      </c>
      <c r="B186" s="65">
        <v>181</v>
      </c>
      <c r="C186" s="65" t="s">
        <v>1050</v>
      </c>
      <c r="D186" s="64" t="s">
        <v>1303</v>
      </c>
      <c r="E186" s="66" t="s">
        <v>50</v>
      </c>
      <c r="F186" s="66" t="s">
        <v>239</v>
      </c>
      <c r="G186" s="67">
        <v>42998</v>
      </c>
      <c r="H186" s="67"/>
      <c r="I186" s="65">
        <v>37</v>
      </c>
      <c r="J186" s="68">
        <f t="shared" si="57"/>
        <v>5967.7419354838703</v>
      </c>
      <c r="K186" s="68">
        <f t="shared" si="40"/>
        <v>0</v>
      </c>
      <c r="L186" s="68">
        <f t="shared" si="41"/>
        <v>298.38709677419354</v>
      </c>
      <c r="M186" s="68"/>
      <c r="N186" s="68">
        <f t="shared" si="58"/>
        <v>954.83870967741927</v>
      </c>
      <c r="O186" s="68"/>
      <c r="P186" s="68">
        <f t="shared" si="59"/>
        <v>5048.7096774193542</v>
      </c>
      <c r="Q186" s="68">
        <v>0</v>
      </c>
      <c r="R186" s="68">
        <v>0</v>
      </c>
      <c r="S186" s="68">
        <f t="shared" si="42"/>
        <v>12269.677419354837</v>
      </c>
      <c r="T186" s="69">
        <f t="shared" si="43"/>
        <v>716.1290322580644</v>
      </c>
      <c r="U186" s="69">
        <f t="shared" si="56"/>
        <v>215</v>
      </c>
      <c r="V186" s="68">
        <v>0</v>
      </c>
      <c r="W186" s="68">
        <v>12</v>
      </c>
      <c r="X186" s="68">
        <f t="shared" si="44"/>
        <v>943.1290322580644</v>
      </c>
      <c r="Y186" s="68">
        <f t="shared" si="45"/>
        <v>11326.548387096773</v>
      </c>
      <c r="Z186" s="68"/>
      <c r="AA186" s="68">
        <f t="shared" si="46"/>
        <v>11326.548387096773</v>
      </c>
      <c r="AB186" s="69">
        <f t="shared" si="47"/>
        <v>784.75806451612902</v>
      </c>
      <c r="AC186" s="69">
        <f t="shared" si="48"/>
        <v>583</v>
      </c>
      <c r="AD186" s="70">
        <f t="shared" si="49"/>
        <v>36</v>
      </c>
      <c r="AE186" s="71">
        <f t="shared" si="50"/>
        <v>1403.758064516129</v>
      </c>
      <c r="AF186" s="71">
        <f t="shared" si="51"/>
        <v>13673.435483870966</v>
      </c>
    </row>
    <row r="187" spans="1:32" x14ac:dyDescent="0.2">
      <c r="A187" s="64" t="s">
        <v>1304</v>
      </c>
      <c r="B187" s="65">
        <v>182</v>
      </c>
      <c r="C187" s="65" t="s">
        <v>1051</v>
      </c>
      <c r="D187" s="64" t="s">
        <v>1304</v>
      </c>
      <c r="E187" s="66" t="s">
        <v>50</v>
      </c>
      <c r="F187" s="66" t="s">
        <v>484</v>
      </c>
      <c r="G187" s="67">
        <v>42997</v>
      </c>
      <c r="H187" s="67"/>
      <c r="I187" s="65">
        <v>37</v>
      </c>
      <c r="J187" s="68">
        <f t="shared" si="57"/>
        <v>5967.7419354838703</v>
      </c>
      <c r="K187" s="68">
        <f t="shared" si="40"/>
        <v>0</v>
      </c>
      <c r="L187" s="68">
        <f t="shared" si="41"/>
        <v>298.38709677419354</v>
      </c>
      <c r="M187" s="68"/>
      <c r="N187" s="68">
        <f t="shared" si="58"/>
        <v>954.83870967741927</v>
      </c>
      <c r="O187" s="68"/>
      <c r="P187" s="68">
        <f t="shared" si="59"/>
        <v>5048.7096774193542</v>
      </c>
      <c r="Q187" s="68">
        <v>0</v>
      </c>
      <c r="R187" s="68">
        <v>0</v>
      </c>
      <c r="S187" s="68">
        <f t="shared" si="42"/>
        <v>12269.677419354837</v>
      </c>
      <c r="T187" s="69">
        <f t="shared" si="43"/>
        <v>716.1290322580644</v>
      </c>
      <c r="U187" s="69">
        <f t="shared" si="56"/>
        <v>215</v>
      </c>
      <c r="V187" s="68">
        <v>0</v>
      </c>
      <c r="W187" s="68">
        <v>12</v>
      </c>
      <c r="X187" s="68">
        <f t="shared" si="44"/>
        <v>943.1290322580644</v>
      </c>
      <c r="Y187" s="68">
        <f t="shared" si="45"/>
        <v>11326.548387096773</v>
      </c>
      <c r="Z187" s="68"/>
      <c r="AA187" s="68">
        <f t="shared" si="46"/>
        <v>11326.548387096773</v>
      </c>
      <c r="AB187" s="69">
        <f t="shared" si="47"/>
        <v>784.75806451612902</v>
      </c>
      <c r="AC187" s="69">
        <f t="shared" si="48"/>
        <v>583</v>
      </c>
      <c r="AD187" s="70">
        <f t="shared" si="49"/>
        <v>36</v>
      </c>
      <c r="AE187" s="71">
        <f t="shared" si="50"/>
        <v>1403.758064516129</v>
      </c>
      <c r="AF187" s="71">
        <f t="shared" si="51"/>
        <v>13673.435483870966</v>
      </c>
    </row>
    <row r="188" spans="1:32" x14ac:dyDescent="0.2">
      <c r="A188" s="64" t="s">
        <v>1305</v>
      </c>
      <c r="B188" s="65">
        <v>183</v>
      </c>
      <c r="C188" s="65" t="s">
        <v>537</v>
      </c>
      <c r="D188" s="64" t="s">
        <v>1305</v>
      </c>
      <c r="E188" s="66" t="s">
        <v>50</v>
      </c>
      <c r="F188" s="66" t="s">
        <v>484</v>
      </c>
      <c r="G188" s="67">
        <v>42997</v>
      </c>
      <c r="H188" s="67"/>
      <c r="I188" s="65">
        <v>37</v>
      </c>
      <c r="J188" s="68">
        <f t="shared" si="57"/>
        <v>5967.7419354838703</v>
      </c>
      <c r="K188" s="68">
        <f t="shared" si="40"/>
        <v>0</v>
      </c>
      <c r="L188" s="68">
        <f t="shared" si="41"/>
        <v>298.38709677419354</v>
      </c>
      <c r="M188" s="68"/>
      <c r="N188" s="68">
        <f t="shared" si="58"/>
        <v>954.83870967741927</v>
      </c>
      <c r="O188" s="68"/>
      <c r="P188" s="68">
        <f t="shared" si="59"/>
        <v>5048.7096774193542</v>
      </c>
      <c r="Q188" s="68">
        <v>0</v>
      </c>
      <c r="R188" s="68">
        <v>0</v>
      </c>
      <c r="S188" s="68">
        <f t="shared" si="42"/>
        <v>12269.677419354837</v>
      </c>
      <c r="T188" s="69">
        <f t="shared" si="43"/>
        <v>716.1290322580644</v>
      </c>
      <c r="U188" s="69">
        <f t="shared" si="56"/>
        <v>215</v>
      </c>
      <c r="V188" s="68">
        <v>0</v>
      </c>
      <c r="W188" s="68">
        <v>12</v>
      </c>
      <c r="X188" s="68">
        <f t="shared" si="44"/>
        <v>943.1290322580644</v>
      </c>
      <c r="Y188" s="68">
        <f t="shared" si="45"/>
        <v>11326.548387096773</v>
      </c>
      <c r="Z188" s="68"/>
      <c r="AA188" s="68">
        <f t="shared" si="46"/>
        <v>11326.548387096773</v>
      </c>
      <c r="AB188" s="69">
        <f t="shared" si="47"/>
        <v>784.75806451612902</v>
      </c>
      <c r="AC188" s="69">
        <f t="shared" si="48"/>
        <v>583</v>
      </c>
      <c r="AD188" s="70">
        <f t="shared" si="49"/>
        <v>36</v>
      </c>
      <c r="AE188" s="71">
        <f t="shared" si="50"/>
        <v>1403.758064516129</v>
      </c>
      <c r="AF188" s="71">
        <f t="shared" si="51"/>
        <v>13673.435483870966</v>
      </c>
    </row>
    <row r="189" spans="1:32" x14ac:dyDescent="0.2">
      <c r="A189" s="64" t="s">
        <v>1306</v>
      </c>
      <c r="B189" s="65">
        <v>184</v>
      </c>
      <c r="C189" s="65" t="s">
        <v>1052</v>
      </c>
      <c r="D189" s="64" t="s">
        <v>1306</v>
      </c>
      <c r="E189" s="66" t="s">
        <v>50</v>
      </c>
      <c r="F189" s="66" t="s">
        <v>484</v>
      </c>
      <c r="G189" s="67">
        <v>42997</v>
      </c>
      <c r="H189" s="67"/>
      <c r="I189" s="65">
        <v>35</v>
      </c>
      <c r="J189" s="68">
        <f t="shared" si="57"/>
        <v>5645.1612903225805</v>
      </c>
      <c r="K189" s="68">
        <f t="shared" si="40"/>
        <v>0</v>
      </c>
      <c r="L189" s="68">
        <f t="shared" si="41"/>
        <v>282.25806451612902</v>
      </c>
      <c r="M189" s="68"/>
      <c r="N189" s="68">
        <f t="shared" si="58"/>
        <v>903.22580645161281</v>
      </c>
      <c r="O189" s="68"/>
      <c r="P189" s="68">
        <f t="shared" si="59"/>
        <v>4775.8064516129025</v>
      </c>
      <c r="Q189" s="68">
        <v>0</v>
      </c>
      <c r="R189" s="68">
        <v>0</v>
      </c>
      <c r="S189" s="68">
        <f t="shared" si="42"/>
        <v>11606.451612903224</v>
      </c>
      <c r="T189" s="69">
        <f t="shared" si="43"/>
        <v>677.41935483870964</v>
      </c>
      <c r="U189" s="69">
        <f t="shared" si="56"/>
        <v>204</v>
      </c>
      <c r="V189" s="68">
        <v>0</v>
      </c>
      <c r="W189" s="68">
        <v>12</v>
      </c>
      <c r="X189" s="68">
        <f t="shared" si="44"/>
        <v>893.41935483870964</v>
      </c>
      <c r="Y189" s="68">
        <f t="shared" si="45"/>
        <v>10713.032258064513</v>
      </c>
      <c r="Z189" s="68"/>
      <c r="AA189" s="68">
        <f t="shared" si="46"/>
        <v>10713.032258064513</v>
      </c>
      <c r="AB189" s="69">
        <f t="shared" si="47"/>
        <v>742.33870967741939</v>
      </c>
      <c r="AC189" s="69">
        <f t="shared" si="48"/>
        <v>552</v>
      </c>
      <c r="AD189" s="70">
        <f t="shared" si="49"/>
        <v>36</v>
      </c>
      <c r="AE189" s="71">
        <f t="shared" si="50"/>
        <v>1330.3387096774195</v>
      </c>
      <c r="AF189" s="71">
        <f t="shared" si="51"/>
        <v>12936.790322580644</v>
      </c>
    </row>
    <row r="190" spans="1:32" x14ac:dyDescent="0.2">
      <c r="A190" s="64" t="s">
        <v>1307</v>
      </c>
      <c r="B190" s="65">
        <v>185</v>
      </c>
      <c r="C190" s="65" t="s">
        <v>1053</v>
      </c>
      <c r="D190" s="64" t="s">
        <v>1307</v>
      </c>
      <c r="E190" s="66" t="s">
        <v>50</v>
      </c>
      <c r="F190" s="66" t="s">
        <v>484</v>
      </c>
      <c r="G190" s="67">
        <v>42997</v>
      </c>
      <c r="H190" s="67"/>
      <c r="I190" s="65">
        <v>33</v>
      </c>
      <c r="J190" s="68">
        <f t="shared" si="57"/>
        <v>5322.5806451612898</v>
      </c>
      <c r="K190" s="68">
        <f t="shared" si="40"/>
        <v>0</v>
      </c>
      <c r="L190" s="68">
        <f t="shared" si="41"/>
        <v>266.12903225806451</v>
      </c>
      <c r="M190" s="68"/>
      <c r="N190" s="68">
        <f t="shared" si="58"/>
        <v>851.61290322580635</v>
      </c>
      <c r="O190" s="68"/>
      <c r="P190" s="68">
        <f t="shared" si="59"/>
        <v>4502.9032258064508</v>
      </c>
      <c r="Q190" s="68">
        <v>0</v>
      </c>
      <c r="R190" s="68">
        <v>0</v>
      </c>
      <c r="S190" s="68">
        <f t="shared" si="42"/>
        <v>10943.225806451612</v>
      </c>
      <c r="T190" s="69">
        <f t="shared" si="43"/>
        <v>638.70967741935476</v>
      </c>
      <c r="U190" s="69">
        <f t="shared" si="56"/>
        <v>192</v>
      </c>
      <c r="V190" s="68">
        <v>0</v>
      </c>
      <c r="W190" s="68">
        <v>12</v>
      </c>
      <c r="X190" s="68">
        <f t="shared" si="44"/>
        <v>842.70967741935476</v>
      </c>
      <c r="Y190" s="68">
        <f t="shared" si="45"/>
        <v>10100.516129032258</v>
      </c>
      <c r="Z190" s="68"/>
      <c r="AA190" s="68">
        <f t="shared" si="46"/>
        <v>10100.516129032258</v>
      </c>
      <c r="AB190" s="69">
        <f t="shared" si="47"/>
        <v>699.91935483870964</v>
      </c>
      <c r="AC190" s="69">
        <f t="shared" si="48"/>
        <v>520</v>
      </c>
      <c r="AD190" s="70">
        <f t="shared" si="49"/>
        <v>36</v>
      </c>
      <c r="AE190" s="71">
        <f t="shared" si="50"/>
        <v>1255.9193548387098</v>
      </c>
      <c r="AF190" s="71">
        <f t="shared" si="51"/>
        <v>12199.145161290322</v>
      </c>
    </row>
    <row r="191" spans="1:32" x14ac:dyDescent="0.2">
      <c r="A191" s="64" t="s">
        <v>1308</v>
      </c>
      <c r="B191" s="65">
        <v>186</v>
      </c>
      <c r="C191" s="65" t="s">
        <v>492</v>
      </c>
      <c r="D191" s="64" t="s">
        <v>1308</v>
      </c>
      <c r="E191" s="66" t="s">
        <v>50</v>
      </c>
      <c r="F191" s="66" t="s">
        <v>484</v>
      </c>
      <c r="G191" s="67">
        <v>43000</v>
      </c>
      <c r="H191" s="67"/>
      <c r="I191" s="65">
        <v>33.5</v>
      </c>
      <c r="J191" s="68">
        <f t="shared" si="57"/>
        <v>5403.2258064516127</v>
      </c>
      <c r="K191" s="68">
        <f t="shared" si="40"/>
        <v>0</v>
      </c>
      <c r="L191" s="68">
        <f t="shared" si="41"/>
        <v>270.16129032258067</v>
      </c>
      <c r="M191" s="68"/>
      <c r="N191" s="68">
        <f t="shared" si="58"/>
        <v>864.51612903225805</v>
      </c>
      <c r="O191" s="68"/>
      <c r="P191" s="68">
        <f t="shared" si="59"/>
        <v>4571.1290322580644</v>
      </c>
      <c r="Q191" s="68">
        <v>0</v>
      </c>
      <c r="R191" s="68">
        <v>0</v>
      </c>
      <c r="S191" s="68">
        <f t="shared" si="42"/>
        <v>11109.032258064515</v>
      </c>
      <c r="T191" s="69">
        <f t="shared" si="43"/>
        <v>648.38709677419354</v>
      </c>
      <c r="U191" s="69">
        <f t="shared" si="56"/>
        <v>195</v>
      </c>
      <c r="V191" s="68">
        <v>0</v>
      </c>
      <c r="W191" s="68">
        <v>12</v>
      </c>
      <c r="X191" s="68">
        <f t="shared" si="44"/>
        <v>855.38709677419354</v>
      </c>
      <c r="Y191" s="68">
        <f t="shared" si="45"/>
        <v>10253.645161290322</v>
      </c>
      <c r="Z191" s="68"/>
      <c r="AA191" s="68">
        <f t="shared" si="46"/>
        <v>10253.645161290322</v>
      </c>
      <c r="AB191" s="69">
        <f t="shared" si="47"/>
        <v>710.52419354838707</v>
      </c>
      <c r="AC191" s="69">
        <f t="shared" si="48"/>
        <v>528</v>
      </c>
      <c r="AD191" s="70">
        <f t="shared" si="49"/>
        <v>36</v>
      </c>
      <c r="AE191" s="71">
        <f t="shared" si="50"/>
        <v>1274.5241935483871</v>
      </c>
      <c r="AF191" s="71">
        <f t="shared" si="51"/>
        <v>12383.556451612902</v>
      </c>
    </row>
    <row r="192" spans="1:32" x14ac:dyDescent="0.2">
      <c r="A192" s="64" t="s">
        <v>1309</v>
      </c>
      <c r="B192" s="65">
        <v>187</v>
      </c>
      <c r="C192" s="65" t="s">
        <v>1054</v>
      </c>
      <c r="D192" s="64" t="s">
        <v>1309</v>
      </c>
      <c r="E192" s="66" t="s">
        <v>50</v>
      </c>
      <c r="F192" s="66" t="s">
        <v>484</v>
      </c>
      <c r="G192" s="67">
        <v>43004</v>
      </c>
      <c r="H192" s="67"/>
      <c r="I192" s="65">
        <v>36</v>
      </c>
      <c r="J192" s="68">
        <f t="shared" si="57"/>
        <v>5806.4516129032254</v>
      </c>
      <c r="K192" s="68">
        <f t="shared" si="40"/>
        <v>0</v>
      </c>
      <c r="L192" s="68">
        <f t="shared" si="41"/>
        <v>290.32258064516128</v>
      </c>
      <c r="M192" s="68"/>
      <c r="N192" s="68">
        <f t="shared" si="58"/>
        <v>929.0322580645161</v>
      </c>
      <c r="O192" s="68"/>
      <c r="P192" s="68">
        <f t="shared" si="59"/>
        <v>4912.2580645161288</v>
      </c>
      <c r="Q192" s="68">
        <v>0</v>
      </c>
      <c r="R192" s="68">
        <v>0</v>
      </c>
      <c r="S192" s="68">
        <f t="shared" si="42"/>
        <v>11938.06451612903</v>
      </c>
      <c r="T192" s="69">
        <f t="shared" si="43"/>
        <v>696.77419354838707</v>
      </c>
      <c r="U192" s="69">
        <f t="shared" si="56"/>
        <v>209</v>
      </c>
      <c r="V192" s="68">
        <v>0</v>
      </c>
      <c r="W192" s="68">
        <v>12</v>
      </c>
      <c r="X192" s="68">
        <f t="shared" si="44"/>
        <v>917.77419354838707</v>
      </c>
      <c r="Y192" s="68">
        <f t="shared" si="45"/>
        <v>11020.290322580644</v>
      </c>
      <c r="Z192" s="68"/>
      <c r="AA192" s="68">
        <f t="shared" si="46"/>
        <v>11020.290322580644</v>
      </c>
      <c r="AB192" s="69">
        <f t="shared" si="47"/>
        <v>763.54838709677415</v>
      </c>
      <c r="AC192" s="69">
        <f t="shared" si="48"/>
        <v>568</v>
      </c>
      <c r="AD192" s="70">
        <f t="shared" si="49"/>
        <v>36</v>
      </c>
      <c r="AE192" s="71">
        <f t="shared" si="50"/>
        <v>1367.5483870967741</v>
      </c>
      <c r="AF192" s="71">
        <f t="shared" si="51"/>
        <v>13305.612903225805</v>
      </c>
    </row>
    <row r="193" spans="1:32" x14ac:dyDescent="0.2">
      <c r="A193" s="64" t="s">
        <v>1310</v>
      </c>
      <c r="B193" s="65">
        <v>188</v>
      </c>
      <c r="C193" s="65" t="s">
        <v>1055</v>
      </c>
      <c r="D193" s="64" t="s">
        <v>1310</v>
      </c>
      <c r="E193" s="66" t="s">
        <v>50</v>
      </c>
      <c r="F193" s="66" t="s">
        <v>484</v>
      </c>
      <c r="G193" s="67">
        <v>43006</v>
      </c>
      <c r="H193" s="67"/>
      <c r="I193" s="65">
        <v>33</v>
      </c>
      <c r="J193" s="68">
        <f t="shared" si="57"/>
        <v>5322.5806451612898</v>
      </c>
      <c r="K193" s="68">
        <f t="shared" si="40"/>
        <v>0</v>
      </c>
      <c r="L193" s="68">
        <f t="shared" si="41"/>
        <v>266.12903225806451</v>
      </c>
      <c r="M193" s="68"/>
      <c r="N193" s="68">
        <f t="shared" si="58"/>
        <v>851.61290322580635</v>
      </c>
      <c r="O193" s="68"/>
      <c r="P193" s="68">
        <f t="shared" si="59"/>
        <v>4502.9032258064508</v>
      </c>
      <c r="Q193" s="68">
        <v>0</v>
      </c>
      <c r="R193" s="68">
        <v>0</v>
      </c>
      <c r="S193" s="68">
        <f t="shared" si="42"/>
        <v>10943.225806451612</v>
      </c>
      <c r="T193" s="69">
        <f t="shared" si="43"/>
        <v>638.70967741935476</v>
      </c>
      <c r="U193" s="69">
        <f t="shared" si="56"/>
        <v>192</v>
      </c>
      <c r="V193" s="68">
        <v>0</v>
      </c>
      <c r="W193" s="68">
        <v>12</v>
      </c>
      <c r="X193" s="68">
        <f t="shared" si="44"/>
        <v>842.70967741935476</v>
      </c>
      <c r="Y193" s="68">
        <f t="shared" si="45"/>
        <v>10100.516129032258</v>
      </c>
      <c r="Z193" s="68"/>
      <c r="AA193" s="68">
        <f t="shared" si="46"/>
        <v>10100.516129032258</v>
      </c>
      <c r="AB193" s="69">
        <f t="shared" si="47"/>
        <v>699.91935483870964</v>
      </c>
      <c r="AC193" s="69">
        <f t="shared" si="48"/>
        <v>520</v>
      </c>
      <c r="AD193" s="70">
        <f t="shared" si="49"/>
        <v>36</v>
      </c>
      <c r="AE193" s="71">
        <f t="shared" si="50"/>
        <v>1255.9193548387098</v>
      </c>
      <c r="AF193" s="71">
        <f t="shared" si="51"/>
        <v>12199.145161290322</v>
      </c>
    </row>
    <row r="194" spans="1:32" x14ac:dyDescent="0.2">
      <c r="A194" s="64" t="s">
        <v>1311</v>
      </c>
      <c r="B194" s="65">
        <v>189</v>
      </c>
      <c r="C194" s="65" t="s">
        <v>1056</v>
      </c>
      <c r="D194" s="64" t="s">
        <v>1311</v>
      </c>
      <c r="E194" s="66" t="s">
        <v>50</v>
      </c>
      <c r="F194" s="66" t="s">
        <v>484</v>
      </c>
      <c r="G194" s="67">
        <v>43005</v>
      </c>
      <c r="H194" s="67"/>
      <c r="I194" s="65">
        <v>27</v>
      </c>
      <c r="J194" s="68">
        <f t="shared" si="57"/>
        <v>4354.8387096774195</v>
      </c>
      <c r="K194" s="68">
        <f t="shared" si="40"/>
        <v>0</v>
      </c>
      <c r="L194" s="68">
        <f t="shared" si="41"/>
        <v>217.74193548387098</v>
      </c>
      <c r="M194" s="68"/>
      <c r="N194" s="68">
        <f t="shared" si="58"/>
        <v>696.77419354838707</v>
      </c>
      <c r="O194" s="68"/>
      <c r="P194" s="68">
        <f t="shared" si="59"/>
        <v>3684.1935483870966</v>
      </c>
      <c r="Q194" s="68">
        <v>0</v>
      </c>
      <c r="R194" s="68">
        <v>0</v>
      </c>
      <c r="S194" s="68">
        <f t="shared" si="42"/>
        <v>8953.5483870967746</v>
      </c>
      <c r="T194" s="69">
        <f t="shared" si="43"/>
        <v>522.58064516129036</v>
      </c>
      <c r="U194" s="69">
        <f t="shared" si="56"/>
        <v>157</v>
      </c>
      <c r="V194" s="68">
        <v>0</v>
      </c>
      <c r="W194" s="68">
        <v>12</v>
      </c>
      <c r="X194" s="68">
        <f t="shared" si="44"/>
        <v>691.58064516129036</v>
      </c>
      <c r="Y194" s="68">
        <f t="shared" si="45"/>
        <v>8261.9677419354848</v>
      </c>
      <c r="Z194" s="68"/>
      <c r="AA194" s="68">
        <f t="shared" si="46"/>
        <v>8261.9677419354848</v>
      </c>
      <c r="AB194" s="69">
        <f t="shared" si="47"/>
        <v>572.66129032258073</v>
      </c>
      <c r="AC194" s="69">
        <f t="shared" si="48"/>
        <v>426</v>
      </c>
      <c r="AD194" s="70">
        <f t="shared" si="49"/>
        <v>36</v>
      </c>
      <c r="AE194" s="71">
        <f t="shared" si="50"/>
        <v>1034.6612903225807</v>
      </c>
      <c r="AF194" s="71">
        <f t="shared" si="51"/>
        <v>9988.209677419356</v>
      </c>
    </row>
    <row r="195" spans="1:32" x14ac:dyDescent="0.2">
      <c r="A195" s="64" t="s">
        <v>1345</v>
      </c>
      <c r="B195" s="65">
        <v>190</v>
      </c>
      <c r="C195" s="65" t="s">
        <v>1029</v>
      </c>
      <c r="D195" s="64" t="s">
        <v>1345</v>
      </c>
      <c r="E195" s="66" t="s">
        <v>50</v>
      </c>
      <c r="F195" s="65" t="s">
        <v>234</v>
      </c>
      <c r="G195" s="67">
        <v>42960</v>
      </c>
      <c r="H195" s="67"/>
      <c r="I195" s="65">
        <v>23</v>
      </c>
      <c r="J195" s="68">
        <f t="shared" si="57"/>
        <v>3709.6774193548385</v>
      </c>
      <c r="K195" s="68">
        <f t="shared" si="40"/>
        <v>0</v>
      </c>
      <c r="L195" s="68">
        <f t="shared" si="41"/>
        <v>185.48387096774195</v>
      </c>
      <c r="M195" s="68"/>
      <c r="N195" s="68">
        <f t="shared" si="58"/>
        <v>593.54838709677415</v>
      </c>
      <c r="O195" s="68"/>
      <c r="P195" s="68">
        <f t="shared" ref="P195:P203" si="60">((5248)/I$3)*I195</f>
        <v>3893.6774193548385</v>
      </c>
      <c r="Q195" s="68">
        <v>0</v>
      </c>
      <c r="R195" s="68">
        <v>0</v>
      </c>
      <c r="S195" s="68">
        <f t="shared" si="42"/>
        <v>8382.3870967741932</v>
      </c>
      <c r="T195" s="69">
        <f t="shared" si="43"/>
        <v>445.16129032258061</v>
      </c>
      <c r="U195" s="69">
        <f t="shared" si="56"/>
        <v>147</v>
      </c>
      <c r="V195" s="68">
        <v>0</v>
      </c>
      <c r="W195" s="68">
        <v>12</v>
      </c>
      <c r="X195" s="68">
        <f t="shared" si="44"/>
        <v>604.16129032258061</v>
      </c>
      <c r="Y195" s="68">
        <f t="shared" si="45"/>
        <v>7778.2258064516127</v>
      </c>
      <c r="Z195" s="68"/>
      <c r="AA195" s="68">
        <f t="shared" si="46"/>
        <v>7778.2258064516127</v>
      </c>
      <c r="AB195" s="69">
        <f t="shared" si="47"/>
        <v>487.82258064516128</v>
      </c>
      <c r="AC195" s="69">
        <f t="shared" si="48"/>
        <v>399</v>
      </c>
      <c r="AD195" s="70">
        <f t="shared" si="49"/>
        <v>36</v>
      </c>
      <c r="AE195" s="71">
        <f t="shared" si="50"/>
        <v>922.82258064516122</v>
      </c>
      <c r="AF195" s="71">
        <f t="shared" si="51"/>
        <v>9305.2096774193542</v>
      </c>
    </row>
    <row r="196" spans="1:32" x14ac:dyDescent="0.2">
      <c r="A196" s="64" t="s">
        <v>1315</v>
      </c>
      <c r="B196" s="65">
        <v>191</v>
      </c>
      <c r="C196" s="65" t="s">
        <v>505</v>
      </c>
      <c r="D196" s="64" t="s">
        <v>1315</v>
      </c>
      <c r="E196" s="66" t="s">
        <v>50</v>
      </c>
      <c r="F196" s="66" t="s">
        <v>234</v>
      </c>
      <c r="G196" s="67">
        <v>42994</v>
      </c>
      <c r="H196" s="67"/>
      <c r="I196" s="65">
        <v>3</v>
      </c>
      <c r="J196" s="68">
        <f t="shared" si="57"/>
        <v>483.87096774193549</v>
      </c>
      <c r="K196" s="68">
        <f t="shared" si="40"/>
        <v>0</v>
      </c>
      <c r="L196" s="68">
        <f t="shared" si="41"/>
        <v>24.193548387096776</v>
      </c>
      <c r="M196" s="68"/>
      <c r="N196" s="68">
        <f t="shared" si="58"/>
        <v>77.419354838709666</v>
      </c>
      <c r="O196" s="68"/>
      <c r="P196" s="68">
        <f t="shared" si="60"/>
        <v>507.87096774193549</v>
      </c>
      <c r="Q196" s="68">
        <v>0</v>
      </c>
      <c r="R196" s="68">
        <v>0</v>
      </c>
      <c r="S196" s="68">
        <f t="shared" si="42"/>
        <v>1093.3548387096776</v>
      </c>
      <c r="T196" s="69">
        <f t="shared" si="43"/>
        <v>58.064516129032256</v>
      </c>
      <c r="U196" s="69">
        <f t="shared" si="56"/>
        <v>20</v>
      </c>
      <c r="V196" s="68">
        <v>0</v>
      </c>
      <c r="W196" s="68">
        <v>12</v>
      </c>
      <c r="X196" s="68">
        <f t="shared" si="44"/>
        <v>90.064516129032256</v>
      </c>
      <c r="Y196" s="68">
        <f t="shared" si="45"/>
        <v>1003.2903225806454</v>
      </c>
      <c r="Z196" s="68"/>
      <c r="AA196" s="68">
        <f t="shared" si="46"/>
        <v>1003.2903225806454</v>
      </c>
      <c r="AB196" s="69">
        <f t="shared" si="47"/>
        <v>63.62903225806452</v>
      </c>
      <c r="AC196" s="69">
        <f t="shared" si="48"/>
        <v>52</v>
      </c>
      <c r="AD196" s="70">
        <f t="shared" si="49"/>
        <v>36</v>
      </c>
      <c r="AE196" s="71">
        <f t="shared" si="50"/>
        <v>151.62903225806451</v>
      </c>
      <c r="AF196" s="71">
        <f t="shared" si="51"/>
        <v>1244.983870967742</v>
      </c>
    </row>
    <row r="197" spans="1:32" x14ac:dyDescent="0.2">
      <c r="A197" s="64" t="s">
        <v>1319</v>
      </c>
      <c r="B197" s="65">
        <v>192</v>
      </c>
      <c r="C197" s="65" t="s">
        <v>1062</v>
      </c>
      <c r="D197" s="64" t="s">
        <v>1319</v>
      </c>
      <c r="E197" s="66" t="s">
        <v>50</v>
      </c>
      <c r="F197" s="66" t="s">
        <v>234</v>
      </c>
      <c r="G197" s="67">
        <v>42985</v>
      </c>
      <c r="H197" s="67"/>
      <c r="I197" s="65">
        <v>33</v>
      </c>
      <c r="J197" s="68">
        <f t="shared" si="57"/>
        <v>5322.5806451612898</v>
      </c>
      <c r="K197" s="68">
        <f t="shared" si="40"/>
        <v>0</v>
      </c>
      <c r="L197" s="68">
        <f t="shared" si="41"/>
        <v>266.12903225806451</v>
      </c>
      <c r="M197" s="68"/>
      <c r="N197" s="68">
        <f t="shared" si="58"/>
        <v>851.61290322580635</v>
      </c>
      <c r="O197" s="68"/>
      <c r="P197" s="68">
        <f t="shared" si="60"/>
        <v>5586.5806451612898</v>
      </c>
      <c r="Q197" s="68">
        <v>0</v>
      </c>
      <c r="R197" s="68">
        <v>0</v>
      </c>
      <c r="S197" s="68">
        <f t="shared" si="42"/>
        <v>12026.903225806451</v>
      </c>
      <c r="T197" s="69">
        <f t="shared" si="43"/>
        <v>638.70967741935476</v>
      </c>
      <c r="U197" s="69">
        <f t="shared" si="56"/>
        <v>211</v>
      </c>
      <c r="V197" s="68">
        <v>0</v>
      </c>
      <c r="W197" s="68">
        <v>12</v>
      </c>
      <c r="X197" s="68">
        <f t="shared" si="44"/>
        <v>861.70967741935476</v>
      </c>
      <c r="Y197" s="68">
        <f t="shared" si="45"/>
        <v>11165.193548387097</v>
      </c>
      <c r="Z197" s="68"/>
      <c r="AA197" s="68">
        <f t="shared" si="46"/>
        <v>11165.193548387097</v>
      </c>
      <c r="AB197" s="69">
        <f t="shared" si="47"/>
        <v>699.91935483870964</v>
      </c>
      <c r="AC197" s="69">
        <f t="shared" si="48"/>
        <v>572</v>
      </c>
      <c r="AD197" s="70">
        <f t="shared" si="49"/>
        <v>36</v>
      </c>
      <c r="AE197" s="71">
        <f t="shared" si="50"/>
        <v>1307.9193548387098</v>
      </c>
      <c r="AF197" s="71">
        <f t="shared" si="51"/>
        <v>13334.822580645161</v>
      </c>
    </row>
    <row r="198" spans="1:32" x14ac:dyDescent="0.2">
      <c r="A198" s="64" t="s">
        <v>1321</v>
      </c>
      <c r="B198" s="65">
        <v>193</v>
      </c>
      <c r="C198" s="65" t="s">
        <v>1064</v>
      </c>
      <c r="D198" s="64" t="s">
        <v>1321</v>
      </c>
      <c r="E198" s="66" t="s">
        <v>50</v>
      </c>
      <c r="F198" s="66" t="s">
        <v>234</v>
      </c>
      <c r="G198" s="67">
        <v>42988</v>
      </c>
      <c r="H198" s="67"/>
      <c r="I198" s="65">
        <v>35</v>
      </c>
      <c r="J198" s="68">
        <f t="shared" si="57"/>
        <v>5645.1612903225805</v>
      </c>
      <c r="K198" s="68">
        <f t="shared" ref="K198:K261" si="61">((0)/I$3)*I198</f>
        <v>0</v>
      </c>
      <c r="L198" s="68">
        <f t="shared" ref="L198:L261" si="62">(J198+K198)*5%</f>
        <v>282.25806451612902</v>
      </c>
      <c r="M198" s="68"/>
      <c r="N198" s="68">
        <f t="shared" si="58"/>
        <v>903.22580645161281</v>
      </c>
      <c r="O198" s="68"/>
      <c r="P198" s="68">
        <f t="shared" si="60"/>
        <v>5925.1612903225805</v>
      </c>
      <c r="Q198" s="68">
        <v>0</v>
      </c>
      <c r="R198" s="68">
        <v>0</v>
      </c>
      <c r="S198" s="68">
        <f t="shared" ref="S198:S261" si="63">SUM(J198:R198)</f>
        <v>12755.806451612902</v>
      </c>
      <c r="T198" s="69">
        <f t="shared" ref="T198:T261" si="64">(J198+K198)*12%</f>
        <v>677.41935483870964</v>
      </c>
      <c r="U198" s="69">
        <f t="shared" si="56"/>
        <v>224</v>
      </c>
      <c r="V198" s="68">
        <v>0</v>
      </c>
      <c r="W198" s="68">
        <v>12</v>
      </c>
      <c r="X198" s="68">
        <f t="shared" ref="X198:X261" si="65">SUM(T198:W198)</f>
        <v>913.41935483870964</v>
      </c>
      <c r="Y198" s="68">
        <f t="shared" ref="Y198:Y261" si="66">S198-X198</f>
        <v>11842.387096774191</v>
      </c>
      <c r="Z198" s="68"/>
      <c r="AA198" s="68">
        <f t="shared" ref="AA198:AA261" si="67">Y198-Z198</f>
        <v>11842.387096774191</v>
      </c>
      <c r="AB198" s="69">
        <f t="shared" ref="AB198:AB261" si="68">(J198+K198)*13.15%</f>
        <v>742.33870967741939</v>
      </c>
      <c r="AC198" s="69">
        <f t="shared" ref="AC198:AC206" si="69">CEILING((S198)*4.75%,1)</f>
        <v>606</v>
      </c>
      <c r="AD198" s="70">
        <f t="shared" ref="AD198:AD261" si="70">W198*3</f>
        <v>36</v>
      </c>
      <c r="AE198" s="71">
        <f t="shared" ref="AE198:AE261" si="71">SUM(AB198:AD198)</f>
        <v>1384.3387096774195</v>
      </c>
      <c r="AF198" s="71">
        <f t="shared" ref="AF198:AF261" si="72">S198+AE198</f>
        <v>14140.145161290322</v>
      </c>
    </row>
    <row r="199" spans="1:32" x14ac:dyDescent="0.2">
      <c r="A199" s="64" t="s">
        <v>1323</v>
      </c>
      <c r="B199" s="65">
        <v>194</v>
      </c>
      <c r="C199" s="65" t="s">
        <v>1066</v>
      </c>
      <c r="D199" s="64" t="s">
        <v>1323</v>
      </c>
      <c r="E199" s="66" t="s">
        <v>50</v>
      </c>
      <c r="F199" s="66" t="s">
        <v>234</v>
      </c>
      <c r="G199" s="67">
        <v>42989</v>
      </c>
      <c r="H199" s="67"/>
      <c r="I199" s="65">
        <v>2</v>
      </c>
      <c r="J199" s="68">
        <f t="shared" si="57"/>
        <v>322.58064516129031</v>
      </c>
      <c r="K199" s="68">
        <f t="shared" si="61"/>
        <v>0</v>
      </c>
      <c r="L199" s="68">
        <f t="shared" si="62"/>
        <v>16.129032258064516</v>
      </c>
      <c r="M199" s="68"/>
      <c r="N199" s="68">
        <f t="shared" si="58"/>
        <v>51.612903225806448</v>
      </c>
      <c r="O199" s="68"/>
      <c r="P199" s="68">
        <f t="shared" si="60"/>
        <v>338.58064516129031</v>
      </c>
      <c r="Q199" s="68">
        <v>0</v>
      </c>
      <c r="R199" s="68">
        <v>0</v>
      </c>
      <c r="S199" s="68">
        <f t="shared" si="63"/>
        <v>728.90322580645159</v>
      </c>
      <c r="T199" s="69">
        <f t="shared" si="64"/>
        <v>38.709677419354833</v>
      </c>
      <c r="U199" s="69">
        <f t="shared" si="56"/>
        <v>13</v>
      </c>
      <c r="V199" s="68">
        <v>0</v>
      </c>
      <c r="W199" s="68">
        <v>12</v>
      </c>
      <c r="X199" s="68">
        <f t="shared" si="65"/>
        <v>63.709677419354833</v>
      </c>
      <c r="Y199" s="68">
        <f t="shared" si="66"/>
        <v>665.19354838709671</v>
      </c>
      <c r="Z199" s="68"/>
      <c r="AA199" s="68">
        <f t="shared" si="67"/>
        <v>665.19354838709671</v>
      </c>
      <c r="AB199" s="69">
        <f t="shared" si="68"/>
        <v>42.41935483870968</v>
      </c>
      <c r="AC199" s="69">
        <f t="shared" si="69"/>
        <v>35</v>
      </c>
      <c r="AD199" s="70">
        <f t="shared" si="70"/>
        <v>36</v>
      </c>
      <c r="AE199" s="71">
        <f t="shared" si="71"/>
        <v>113.41935483870968</v>
      </c>
      <c r="AF199" s="71">
        <f t="shared" si="72"/>
        <v>842.32258064516122</v>
      </c>
    </row>
    <row r="200" spans="1:32" x14ac:dyDescent="0.2">
      <c r="A200" s="64" t="s">
        <v>1324</v>
      </c>
      <c r="B200" s="65">
        <v>195</v>
      </c>
      <c r="C200" s="65" t="s">
        <v>1067</v>
      </c>
      <c r="D200" s="64" t="s">
        <v>1324</v>
      </c>
      <c r="E200" s="66" t="s">
        <v>50</v>
      </c>
      <c r="F200" s="66" t="s">
        <v>234</v>
      </c>
      <c r="G200" s="67">
        <v>42991</v>
      </c>
      <c r="H200" s="67"/>
      <c r="I200" s="65">
        <v>3</v>
      </c>
      <c r="J200" s="68">
        <f t="shared" si="57"/>
        <v>483.87096774193549</v>
      </c>
      <c r="K200" s="68">
        <f t="shared" si="61"/>
        <v>0</v>
      </c>
      <c r="L200" s="68">
        <f t="shared" si="62"/>
        <v>24.193548387096776</v>
      </c>
      <c r="M200" s="68"/>
      <c r="N200" s="68">
        <f t="shared" si="58"/>
        <v>77.419354838709666</v>
      </c>
      <c r="O200" s="68"/>
      <c r="P200" s="68">
        <f t="shared" si="60"/>
        <v>507.87096774193549</v>
      </c>
      <c r="Q200" s="68">
        <v>0</v>
      </c>
      <c r="R200" s="68">
        <v>0</v>
      </c>
      <c r="S200" s="68">
        <f t="shared" si="63"/>
        <v>1093.3548387096776</v>
      </c>
      <c r="T200" s="69">
        <f t="shared" si="64"/>
        <v>58.064516129032256</v>
      </c>
      <c r="U200" s="69">
        <f t="shared" ref="U200:U206" si="73">ROUNDUP((S200*1.75%),0)</f>
        <v>20</v>
      </c>
      <c r="V200" s="68">
        <v>0</v>
      </c>
      <c r="W200" s="68">
        <v>12</v>
      </c>
      <c r="X200" s="68">
        <f t="shared" si="65"/>
        <v>90.064516129032256</v>
      </c>
      <c r="Y200" s="68">
        <f t="shared" si="66"/>
        <v>1003.2903225806454</v>
      </c>
      <c r="Z200" s="68"/>
      <c r="AA200" s="68">
        <f t="shared" si="67"/>
        <v>1003.2903225806454</v>
      </c>
      <c r="AB200" s="69">
        <f t="shared" si="68"/>
        <v>63.62903225806452</v>
      </c>
      <c r="AC200" s="69">
        <f t="shared" si="69"/>
        <v>52</v>
      </c>
      <c r="AD200" s="70">
        <f t="shared" si="70"/>
        <v>36</v>
      </c>
      <c r="AE200" s="71">
        <f t="shared" si="71"/>
        <v>151.62903225806451</v>
      </c>
      <c r="AF200" s="71">
        <f t="shared" si="72"/>
        <v>1244.983870967742</v>
      </c>
    </row>
    <row r="201" spans="1:32" x14ac:dyDescent="0.2">
      <c r="A201" s="64" t="s">
        <v>1326</v>
      </c>
      <c r="B201" s="65">
        <v>196</v>
      </c>
      <c r="C201" s="65" t="s">
        <v>1069</v>
      </c>
      <c r="D201" s="64" t="s">
        <v>1326</v>
      </c>
      <c r="E201" s="66" t="s">
        <v>50</v>
      </c>
      <c r="F201" s="66" t="s">
        <v>234</v>
      </c>
      <c r="G201" s="67">
        <v>42990</v>
      </c>
      <c r="H201" s="67"/>
      <c r="I201" s="65">
        <v>34</v>
      </c>
      <c r="J201" s="68">
        <f t="shared" si="57"/>
        <v>5483.8709677419356</v>
      </c>
      <c r="K201" s="68">
        <f t="shared" si="61"/>
        <v>0</v>
      </c>
      <c r="L201" s="68">
        <f t="shared" si="62"/>
        <v>274.19354838709677</v>
      </c>
      <c r="M201" s="68"/>
      <c r="N201" s="68">
        <f t="shared" si="58"/>
        <v>877.41935483870964</v>
      </c>
      <c r="O201" s="68"/>
      <c r="P201" s="68">
        <f t="shared" si="60"/>
        <v>5755.8709677419356</v>
      </c>
      <c r="Q201" s="68">
        <v>0</v>
      </c>
      <c r="R201" s="68">
        <v>0</v>
      </c>
      <c r="S201" s="68">
        <f t="shared" si="63"/>
        <v>12391.354838709678</v>
      </c>
      <c r="T201" s="69">
        <f t="shared" si="64"/>
        <v>658.0645161290322</v>
      </c>
      <c r="U201" s="69">
        <f t="shared" si="73"/>
        <v>217</v>
      </c>
      <c r="V201" s="68">
        <v>0</v>
      </c>
      <c r="W201" s="68">
        <v>12</v>
      </c>
      <c r="X201" s="68">
        <f t="shared" si="65"/>
        <v>887.0645161290322</v>
      </c>
      <c r="Y201" s="68">
        <f t="shared" si="66"/>
        <v>11504.290322580646</v>
      </c>
      <c r="Z201" s="68"/>
      <c r="AA201" s="68">
        <f t="shared" si="67"/>
        <v>11504.290322580646</v>
      </c>
      <c r="AB201" s="69">
        <f t="shared" si="68"/>
        <v>721.12903225806451</v>
      </c>
      <c r="AC201" s="69">
        <f t="shared" si="69"/>
        <v>589</v>
      </c>
      <c r="AD201" s="70">
        <f t="shared" si="70"/>
        <v>36</v>
      </c>
      <c r="AE201" s="71">
        <f t="shared" si="71"/>
        <v>1346.1290322580644</v>
      </c>
      <c r="AF201" s="71">
        <f t="shared" si="72"/>
        <v>13737.483870967742</v>
      </c>
    </row>
    <row r="202" spans="1:32" x14ac:dyDescent="0.2">
      <c r="A202" s="64" t="s">
        <v>1330</v>
      </c>
      <c r="B202" s="65">
        <v>197</v>
      </c>
      <c r="C202" s="65" t="s">
        <v>1072</v>
      </c>
      <c r="D202" s="64" t="s">
        <v>1330</v>
      </c>
      <c r="E202" s="66" t="s">
        <v>50</v>
      </c>
      <c r="F202" s="66" t="s">
        <v>234</v>
      </c>
      <c r="G202" s="67">
        <v>42991</v>
      </c>
      <c r="H202" s="67"/>
      <c r="I202" s="65">
        <v>34</v>
      </c>
      <c r="J202" s="68">
        <f t="shared" si="57"/>
        <v>5483.8709677419356</v>
      </c>
      <c r="K202" s="68">
        <f t="shared" si="61"/>
        <v>0</v>
      </c>
      <c r="L202" s="68">
        <f t="shared" si="62"/>
        <v>274.19354838709677</v>
      </c>
      <c r="M202" s="68"/>
      <c r="N202" s="68">
        <f t="shared" si="58"/>
        <v>877.41935483870964</v>
      </c>
      <c r="O202" s="68"/>
      <c r="P202" s="68">
        <f t="shared" si="60"/>
        <v>5755.8709677419356</v>
      </c>
      <c r="Q202" s="68">
        <v>0</v>
      </c>
      <c r="R202" s="68">
        <v>0</v>
      </c>
      <c r="S202" s="68">
        <f t="shared" si="63"/>
        <v>12391.354838709678</v>
      </c>
      <c r="T202" s="69">
        <f t="shared" si="64"/>
        <v>658.0645161290322</v>
      </c>
      <c r="U202" s="69">
        <f t="shared" si="73"/>
        <v>217</v>
      </c>
      <c r="V202" s="68">
        <v>0</v>
      </c>
      <c r="W202" s="68">
        <v>12</v>
      </c>
      <c r="X202" s="68">
        <f t="shared" si="65"/>
        <v>887.0645161290322</v>
      </c>
      <c r="Y202" s="68">
        <f t="shared" si="66"/>
        <v>11504.290322580646</v>
      </c>
      <c r="Z202" s="68"/>
      <c r="AA202" s="68">
        <f t="shared" si="67"/>
        <v>11504.290322580646</v>
      </c>
      <c r="AB202" s="69">
        <f t="shared" si="68"/>
        <v>721.12903225806451</v>
      </c>
      <c r="AC202" s="69">
        <f t="shared" si="69"/>
        <v>589</v>
      </c>
      <c r="AD202" s="70">
        <f t="shared" si="70"/>
        <v>36</v>
      </c>
      <c r="AE202" s="71">
        <f t="shared" si="71"/>
        <v>1346.1290322580644</v>
      </c>
      <c r="AF202" s="71">
        <f t="shared" si="72"/>
        <v>13737.483870967742</v>
      </c>
    </row>
    <row r="203" spans="1:32" x14ac:dyDescent="0.2">
      <c r="A203" s="64" t="s">
        <v>1333</v>
      </c>
      <c r="B203" s="65">
        <v>198</v>
      </c>
      <c r="C203" s="65" t="s">
        <v>1075</v>
      </c>
      <c r="D203" s="64" t="s">
        <v>1333</v>
      </c>
      <c r="E203" s="66" t="s">
        <v>50</v>
      </c>
      <c r="F203" s="66" t="s">
        <v>234</v>
      </c>
      <c r="G203" s="67">
        <v>42994</v>
      </c>
      <c r="H203" s="67"/>
      <c r="I203" s="65">
        <v>25</v>
      </c>
      <c r="J203" s="68">
        <f t="shared" si="57"/>
        <v>4032.2580645161288</v>
      </c>
      <c r="K203" s="68">
        <f t="shared" si="61"/>
        <v>0</v>
      </c>
      <c r="L203" s="68">
        <f t="shared" si="62"/>
        <v>201.61290322580646</v>
      </c>
      <c r="M203" s="68"/>
      <c r="N203" s="68">
        <f t="shared" si="58"/>
        <v>645.16129032258061</v>
      </c>
      <c r="O203" s="68"/>
      <c r="P203" s="68">
        <f t="shared" si="60"/>
        <v>4232.2580645161288</v>
      </c>
      <c r="Q203" s="68">
        <v>0</v>
      </c>
      <c r="R203" s="68">
        <v>0</v>
      </c>
      <c r="S203" s="68">
        <f t="shared" si="63"/>
        <v>9111.290322580644</v>
      </c>
      <c r="T203" s="69">
        <f t="shared" si="64"/>
        <v>483.87096774193543</v>
      </c>
      <c r="U203" s="69">
        <f t="shared" si="73"/>
        <v>160</v>
      </c>
      <c r="V203" s="68">
        <v>0</v>
      </c>
      <c r="W203" s="68">
        <v>12</v>
      </c>
      <c r="X203" s="68">
        <f t="shared" si="65"/>
        <v>655.87096774193537</v>
      </c>
      <c r="Y203" s="68">
        <f t="shared" si="66"/>
        <v>8455.4193548387084</v>
      </c>
      <c r="Z203" s="68"/>
      <c r="AA203" s="68">
        <f t="shared" si="67"/>
        <v>8455.4193548387084</v>
      </c>
      <c r="AB203" s="69">
        <f t="shared" si="68"/>
        <v>530.24193548387098</v>
      </c>
      <c r="AC203" s="69">
        <f t="shared" si="69"/>
        <v>433</v>
      </c>
      <c r="AD203" s="70">
        <f t="shared" si="70"/>
        <v>36</v>
      </c>
      <c r="AE203" s="71">
        <f t="shared" si="71"/>
        <v>999.24193548387098</v>
      </c>
      <c r="AF203" s="71">
        <f t="shared" si="72"/>
        <v>10110.532258064515</v>
      </c>
    </row>
    <row r="204" spans="1:32" x14ac:dyDescent="0.2">
      <c r="A204" s="64" t="s">
        <v>1339</v>
      </c>
      <c r="B204" s="65">
        <v>199</v>
      </c>
      <c r="C204" s="65" t="s">
        <v>1494</v>
      </c>
      <c r="D204" s="64" t="s">
        <v>1339</v>
      </c>
      <c r="E204" s="66" t="s">
        <v>50</v>
      </c>
      <c r="F204" s="65" t="s">
        <v>234</v>
      </c>
      <c r="G204" s="67">
        <v>42998</v>
      </c>
      <c r="H204" s="67"/>
      <c r="I204" s="65">
        <v>9</v>
      </c>
      <c r="J204" s="68">
        <f>(5000/30)*I204</f>
        <v>1500</v>
      </c>
      <c r="K204" s="68">
        <f t="shared" si="61"/>
        <v>0</v>
      </c>
      <c r="L204" s="68">
        <f t="shared" si="62"/>
        <v>75</v>
      </c>
      <c r="M204" s="68"/>
      <c r="N204" s="68">
        <f>((800)/30)*I204</f>
        <v>240</v>
      </c>
      <c r="O204" s="68"/>
      <c r="P204" s="68">
        <f>((5248)/30)*I204</f>
        <v>1574.4</v>
      </c>
      <c r="Q204" s="68">
        <v>0</v>
      </c>
      <c r="R204" s="68">
        <v>0</v>
      </c>
      <c r="S204" s="68">
        <f t="shared" si="63"/>
        <v>3389.4</v>
      </c>
      <c r="T204" s="69">
        <f t="shared" si="64"/>
        <v>180</v>
      </c>
      <c r="U204" s="69">
        <f t="shared" si="73"/>
        <v>60</v>
      </c>
      <c r="V204" s="68">
        <v>0</v>
      </c>
      <c r="W204" s="68">
        <v>0</v>
      </c>
      <c r="X204" s="68">
        <f t="shared" si="65"/>
        <v>240</v>
      </c>
      <c r="Y204" s="68">
        <f t="shared" si="66"/>
        <v>3149.4</v>
      </c>
      <c r="Z204" s="68"/>
      <c r="AA204" s="68">
        <f t="shared" si="67"/>
        <v>3149.4</v>
      </c>
      <c r="AB204" s="69">
        <f t="shared" si="68"/>
        <v>197.25</v>
      </c>
      <c r="AC204" s="69">
        <f t="shared" si="69"/>
        <v>161</v>
      </c>
      <c r="AD204" s="70">
        <f t="shared" si="70"/>
        <v>0</v>
      </c>
      <c r="AE204" s="71">
        <f t="shared" si="71"/>
        <v>358.25</v>
      </c>
      <c r="AF204" s="71">
        <f t="shared" si="72"/>
        <v>3747.65</v>
      </c>
    </row>
    <row r="205" spans="1:32" x14ac:dyDescent="0.2">
      <c r="A205" s="64" t="s">
        <v>1341</v>
      </c>
      <c r="B205" s="65">
        <v>200</v>
      </c>
      <c r="C205" s="65" t="s">
        <v>1081</v>
      </c>
      <c r="D205" s="64" t="s">
        <v>1341</v>
      </c>
      <c r="E205" s="66" t="s">
        <v>50</v>
      </c>
      <c r="F205" s="66" t="s">
        <v>234</v>
      </c>
      <c r="G205" s="67">
        <v>43005</v>
      </c>
      <c r="H205" s="67"/>
      <c r="I205" s="65">
        <v>32</v>
      </c>
      <c r="J205" s="68">
        <f t="shared" ref="J205:J218" si="74">(5000/I$3)*I205</f>
        <v>5161.2903225806449</v>
      </c>
      <c r="K205" s="68">
        <f t="shared" si="61"/>
        <v>0</v>
      </c>
      <c r="L205" s="68">
        <f t="shared" si="62"/>
        <v>258.06451612903226</v>
      </c>
      <c r="M205" s="68"/>
      <c r="N205" s="68">
        <f t="shared" ref="N205:N218" si="75">((800)/I$3)*I205</f>
        <v>825.80645161290317</v>
      </c>
      <c r="O205" s="68"/>
      <c r="P205" s="68">
        <f>((5248)/I$3)*I205</f>
        <v>5417.2903225806449</v>
      </c>
      <c r="Q205" s="68">
        <v>0</v>
      </c>
      <c r="R205" s="68">
        <v>0</v>
      </c>
      <c r="S205" s="68">
        <f t="shared" si="63"/>
        <v>11662.451612903225</v>
      </c>
      <c r="T205" s="69">
        <f t="shared" si="64"/>
        <v>619.35483870967732</v>
      </c>
      <c r="U205" s="69">
        <f t="shared" si="73"/>
        <v>205</v>
      </c>
      <c r="V205" s="68">
        <v>0</v>
      </c>
      <c r="W205" s="68">
        <v>12</v>
      </c>
      <c r="X205" s="68">
        <f t="shared" si="65"/>
        <v>836.35483870967732</v>
      </c>
      <c r="Y205" s="68">
        <f t="shared" si="66"/>
        <v>10826.096774193547</v>
      </c>
      <c r="Z205" s="68"/>
      <c r="AA205" s="68">
        <f t="shared" si="67"/>
        <v>10826.096774193547</v>
      </c>
      <c r="AB205" s="69">
        <f t="shared" si="68"/>
        <v>678.70967741935488</v>
      </c>
      <c r="AC205" s="69">
        <f t="shared" si="69"/>
        <v>554</v>
      </c>
      <c r="AD205" s="70">
        <f t="shared" si="70"/>
        <v>36</v>
      </c>
      <c r="AE205" s="71">
        <f t="shared" si="71"/>
        <v>1268.7096774193549</v>
      </c>
      <c r="AF205" s="71">
        <f t="shared" si="72"/>
        <v>12931.16129032258</v>
      </c>
    </row>
    <row r="206" spans="1:32" x14ac:dyDescent="0.2">
      <c r="A206" s="64" t="s">
        <v>1342</v>
      </c>
      <c r="B206" s="65">
        <v>201</v>
      </c>
      <c r="C206" s="65" t="s">
        <v>1082</v>
      </c>
      <c r="D206" s="64" t="s">
        <v>1342</v>
      </c>
      <c r="E206" s="66" t="s">
        <v>50</v>
      </c>
      <c r="F206" s="66" t="s">
        <v>234</v>
      </c>
      <c r="G206" s="67">
        <v>43006</v>
      </c>
      <c r="H206" s="67"/>
      <c r="I206" s="65">
        <v>20</v>
      </c>
      <c r="J206" s="68">
        <f t="shared" si="74"/>
        <v>3225.8064516129029</v>
      </c>
      <c r="K206" s="68">
        <f t="shared" si="61"/>
        <v>0</v>
      </c>
      <c r="L206" s="68">
        <f t="shared" si="62"/>
        <v>161.29032258064515</v>
      </c>
      <c r="M206" s="68"/>
      <c r="N206" s="68">
        <f t="shared" si="75"/>
        <v>516.12903225806451</v>
      </c>
      <c r="O206" s="68"/>
      <c r="P206" s="68">
        <f>((5248)/I$3)*I206</f>
        <v>3385.8064516129029</v>
      </c>
      <c r="Q206" s="68">
        <v>0</v>
      </c>
      <c r="R206" s="68">
        <v>0</v>
      </c>
      <c r="S206" s="68">
        <f t="shared" si="63"/>
        <v>7289.0322580645152</v>
      </c>
      <c r="T206" s="69">
        <f t="shared" si="64"/>
        <v>387.09677419354836</v>
      </c>
      <c r="U206" s="69">
        <f t="shared" si="73"/>
        <v>128</v>
      </c>
      <c r="V206" s="68">
        <v>0</v>
      </c>
      <c r="W206" s="68">
        <v>12</v>
      </c>
      <c r="X206" s="68">
        <f t="shared" si="65"/>
        <v>527.0967741935483</v>
      </c>
      <c r="Y206" s="68">
        <f t="shared" si="66"/>
        <v>6761.9354838709669</v>
      </c>
      <c r="Z206" s="68"/>
      <c r="AA206" s="68">
        <f t="shared" si="67"/>
        <v>6761.9354838709669</v>
      </c>
      <c r="AB206" s="69">
        <f t="shared" si="68"/>
        <v>424.19354838709677</v>
      </c>
      <c r="AC206" s="69">
        <f t="shared" si="69"/>
        <v>347</v>
      </c>
      <c r="AD206" s="70">
        <f t="shared" si="70"/>
        <v>36</v>
      </c>
      <c r="AE206" s="71">
        <f t="shared" si="71"/>
        <v>807.19354838709683</v>
      </c>
      <c r="AF206" s="71">
        <f t="shared" si="72"/>
        <v>8096.2258064516118</v>
      </c>
    </row>
    <row r="207" spans="1:32" x14ac:dyDescent="0.2">
      <c r="A207" s="64" t="s">
        <v>1302</v>
      </c>
      <c r="B207" s="65">
        <v>202</v>
      </c>
      <c r="C207" s="65" t="s">
        <v>1049</v>
      </c>
      <c r="D207" s="64" t="s">
        <v>1302</v>
      </c>
      <c r="E207" s="66" t="s">
        <v>50</v>
      </c>
      <c r="F207" s="66" t="s">
        <v>1039</v>
      </c>
      <c r="G207" s="67">
        <v>43003</v>
      </c>
      <c r="H207" s="67"/>
      <c r="I207" s="65">
        <v>37</v>
      </c>
      <c r="J207" s="68">
        <f t="shared" si="74"/>
        <v>5967.7419354838703</v>
      </c>
      <c r="K207" s="68">
        <f t="shared" si="61"/>
        <v>0</v>
      </c>
      <c r="L207" s="68">
        <f t="shared" si="62"/>
        <v>298.38709677419354</v>
      </c>
      <c r="M207" s="68"/>
      <c r="N207" s="68">
        <f t="shared" si="75"/>
        <v>954.83870967741927</v>
      </c>
      <c r="O207" s="68"/>
      <c r="P207" s="68">
        <f>((16550)/I$3)*I207</f>
        <v>19753.225806451614</v>
      </c>
      <c r="Q207" s="68">
        <v>0</v>
      </c>
      <c r="R207" s="68">
        <v>0</v>
      </c>
      <c r="S207" s="68">
        <f t="shared" si="63"/>
        <v>26974.193548387098</v>
      </c>
      <c r="T207" s="69">
        <f t="shared" si="64"/>
        <v>716.1290322580644</v>
      </c>
      <c r="U207" s="69">
        <v>0</v>
      </c>
      <c r="V207" s="68">
        <v>0</v>
      </c>
      <c r="W207" s="68">
        <v>12</v>
      </c>
      <c r="X207" s="68">
        <f t="shared" si="65"/>
        <v>728.1290322580644</v>
      </c>
      <c r="Y207" s="68">
        <f t="shared" si="66"/>
        <v>26246.064516129034</v>
      </c>
      <c r="Z207" s="68"/>
      <c r="AA207" s="68">
        <f t="shared" si="67"/>
        <v>26246.064516129034</v>
      </c>
      <c r="AB207" s="69">
        <f t="shared" si="68"/>
        <v>784.75806451612902</v>
      </c>
      <c r="AC207" s="69">
        <v>0</v>
      </c>
      <c r="AD207" s="70">
        <f t="shared" si="70"/>
        <v>36</v>
      </c>
      <c r="AE207" s="71">
        <f t="shared" si="71"/>
        <v>820.75806451612902</v>
      </c>
      <c r="AF207" s="71">
        <f t="shared" si="72"/>
        <v>27794.951612903227</v>
      </c>
    </row>
    <row r="208" spans="1:32" x14ac:dyDescent="0.2">
      <c r="A208" s="64" t="s">
        <v>1372</v>
      </c>
      <c r="B208" s="65">
        <v>203</v>
      </c>
      <c r="C208" s="65" t="s">
        <v>542</v>
      </c>
      <c r="D208" s="64" t="s">
        <v>1372</v>
      </c>
      <c r="E208" s="66" t="s">
        <v>50</v>
      </c>
      <c r="F208" s="66" t="s">
        <v>707</v>
      </c>
      <c r="G208" s="67">
        <v>42980</v>
      </c>
      <c r="H208" s="67"/>
      <c r="I208" s="65">
        <v>34</v>
      </c>
      <c r="J208" s="68">
        <f t="shared" si="74"/>
        <v>5483.8709677419356</v>
      </c>
      <c r="K208" s="68">
        <f t="shared" si="61"/>
        <v>0</v>
      </c>
      <c r="L208" s="68">
        <f t="shared" si="62"/>
        <v>274.19354838709677</v>
      </c>
      <c r="M208" s="68"/>
      <c r="N208" s="68">
        <f t="shared" si="75"/>
        <v>877.41935483870964</v>
      </c>
      <c r="O208" s="68"/>
      <c r="P208" s="68">
        <f>((4230)/I$3)*I208</f>
        <v>4639.3548387096771</v>
      </c>
      <c r="Q208" s="68">
        <v>0</v>
      </c>
      <c r="R208" s="68"/>
      <c r="S208" s="68">
        <f t="shared" si="63"/>
        <v>11274.838709677419</v>
      </c>
      <c r="T208" s="69">
        <f t="shared" si="64"/>
        <v>658.0645161290322</v>
      </c>
      <c r="U208" s="69">
        <f t="shared" ref="U208:U239" si="76">ROUNDUP((S208*1.75%),0)</f>
        <v>198</v>
      </c>
      <c r="V208" s="68">
        <v>0</v>
      </c>
      <c r="W208" s="68">
        <v>12</v>
      </c>
      <c r="X208" s="68">
        <f t="shared" si="65"/>
        <v>868.0645161290322</v>
      </c>
      <c r="Y208" s="68">
        <f t="shared" si="66"/>
        <v>10406.774193548386</v>
      </c>
      <c r="Z208" s="68"/>
      <c r="AA208" s="68">
        <f t="shared" si="67"/>
        <v>10406.774193548386</v>
      </c>
      <c r="AB208" s="69">
        <f t="shared" si="68"/>
        <v>721.12903225806451</v>
      </c>
      <c r="AC208" s="69">
        <f t="shared" ref="AC208:AC239" si="77">CEILING((S208)*4.75%,1)</f>
        <v>536</v>
      </c>
      <c r="AD208" s="70">
        <f t="shared" si="70"/>
        <v>36</v>
      </c>
      <c r="AE208" s="71">
        <f t="shared" si="71"/>
        <v>1293.1290322580644</v>
      </c>
      <c r="AF208" s="71">
        <f t="shared" si="72"/>
        <v>12567.967741935483</v>
      </c>
    </row>
    <row r="209" spans="1:32" x14ac:dyDescent="0.2">
      <c r="A209" s="64" t="s">
        <v>1388</v>
      </c>
      <c r="B209" s="65">
        <v>204</v>
      </c>
      <c r="C209" s="65" t="s">
        <v>1363</v>
      </c>
      <c r="D209" s="64" t="s">
        <v>1388</v>
      </c>
      <c r="E209" s="66" t="s">
        <v>50</v>
      </c>
      <c r="F209" s="65" t="s">
        <v>238</v>
      </c>
      <c r="G209" s="67">
        <v>43014</v>
      </c>
      <c r="H209" s="67"/>
      <c r="I209" s="65">
        <v>1</v>
      </c>
      <c r="J209" s="68">
        <f t="shared" si="74"/>
        <v>161.29032258064515</v>
      </c>
      <c r="K209" s="68">
        <f t="shared" si="61"/>
        <v>0</v>
      </c>
      <c r="L209" s="68">
        <f t="shared" si="62"/>
        <v>8.064516129032258</v>
      </c>
      <c r="M209" s="68"/>
      <c r="N209" s="68">
        <f t="shared" si="75"/>
        <v>25.806451612903224</v>
      </c>
      <c r="O209" s="68"/>
      <c r="P209" s="68">
        <f>((4230+1018)/I$3)*I209</f>
        <v>169.29032258064515</v>
      </c>
      <c r="Q209" s="68">
        <v>0</v>
      </c>
      <c r="R209" s="68">
        <v>0</v>
      </c>
      <c r="S209" s="68">
        <f t="shared" si="63"/>
        <v>364.45161290322579</v>
      </c>
      <c r="T209" s="69">
        <f t="shared" si="64"/>
        <v>19.354838709677416</v>
      </c>
      <c r="U209" s="69">
        <f t="shared" si="76"/>
        <v>7</v>
      </c>
      <c r="V209" s="68">
        <v>0</v>
      </c>
      <c r="W209" s="68">
        <v>12</v>
      </c>
      <c r="X209" s="68">
        <f t="shared" si="65"/>
        <v>38.354838709677416</v>
      </c>
      <c r="Y209" s="68">
        <f t="shared" si="66"/>
        <v>326.09677419354836</v>
      </c>
      <c r="Z209" s="68"/>
      <c r="AA209" s="68">
        <f t="shared" si="67"/>
        <v>326.09677419354836</v>
      </c>
      <c r="AB209" s="69">
        <f t="shared" si="68"/>
        <v>21.20967741935484</v>
      </c>
      <c r="AC209" s="69">
        <f t="shared" si="77"/>
        <v>18</v>
      </c>
      <c r="AD209" s="70">
        <f t="shared" si="70"/>
        <v>36</v>
      </c>
      <c r="AE209" s="71">
        <f t="shared" si="71"/>
        <v>75.209677419354847</v>
      </c>
      <c r="AF209" s="71">
        <f t="shared" si="72"/>
        <v>439.66129032258061</v>
      </c>
    </row>
    <row r="210" spans="1:32" x14ac:dyDescent="0.2">
      <c r="A210" s="64" t="s">
        <v>1389</v>
      </c>
      <c r="B210" s="65">
        <v>205</v>
      </c>
      <c r="C210" s="65" t="s">
        <v>1364</v>
      </c>
      <c r="D210" s="64" t="s">
        <v>1389</v>
      </c>
      <c r="E210" s="66" t="s">
        <v>50</v>
      </c>
      <c r="F210" s="65" t="s">
        <v>238</v>
      </c>
      <c r="G210" s="67">
        <v>43014</v>
      </c>
      <c r="H210" s="67"/>
      <c r="I210" s="65">
        <v>15</v>
      </c>
      <c r="J210" s="68">
        <f t="shared" si="74"/>
        <v>2419.3548387096771</v>
      </c>
      <c r="K210" s="68">
        <f t="shared" si="61"/>
        <v>0</v>
      </c>
      <c r="L210" s="68">
        <f t="shared" si="62"/>
        <v>120.96774193548386</v>
      </c>
      <c r="M210" s="68"/>
      <c r="N210" s="68">
        <f t="shared" si="75"/>
        <v>387.09677419354836</v>
      </c>
      <c r="O210" s="68"/>
      <c r="P210" s="68">
        <f>((4230+1018)/I$3)*I210</f>
        <v>2539.3548387096771</v>
      </c>
      <c r="Q210" s="68">
        <v>0</v>
      </c>
      <c r="R210" s="68">
        <v>0</v>
      </c>
      <c r="S210" s="68">
        <f t="shared" si="63"/>
        <v>5466.7741935483864</v>
      </c>
      <c r="T210" s="69">
        <f t="shared" si="64"/>
        <v>290.32258064516122</v>
      </c>
      <c r="U210" s="69">
        <f t="shared" si="76"/>
        <v>96</v>
      </c>
      <c r="V210" s="68">
        <v>0</v>
      </c>
      <c r="W210" s="68">
        <v>12</v>
      </c>
      <c r="X210" s="68">
        <f t="shared" si="65"/>
        <v>398.32258064516122</v>
      </c>
      <c r="Y210" s="68">
        <f t="shared" si="66"/>
        <v>5068.4516129032254</v>
      </c>
      <c r="Z210" s="68"/>
      <c r="AA210" s="68">
        <f t="shared" si="67"/>
        <v>5068.4516129032254</v>
      </c>
      <c r="AB210" s="69">
        <f t="shared" si="68"/>
        <v>318.14516129032256</v>
      </c>
      <c r="AC210" s="69">
        <f t="shared" si="77"/>
        <v>260</v>
      </c>
      <c r="AD210" s="70">
        <f t="shared" si="70"/>
        <v>36</v>
      </c>
      <c r="AE210" s="71">
        <f t="shared" si="71"/>
        <v>614.14516129032256</v>
      </c>
      <c r="AF210" s="71">
        <f t="shared" si="72"/>
        <v>6080.9193548387093</v>
      </c>
    </row>
    <row r="211" spans="1:32" x14ac:dyDescent="0.2">
      <c r="A211" s="64" t="s">
        <v>1390</v>
      </c>
      <c r="B211" s="65">
        <v>206</v>
      </c>
      <c r="C211" s="65" t="s">
        <v>1365</v>
      </c>
      <c r="D211" s="64" t="s">
        <v>1390</v>
      </c>
      <c r="E211" s="66" t="s">
        <v>50</v>
      </c>
      <c r="F211" s="65" t="s">
        <v>238</v>
      </c>
      <c r="G211" s="67">
        <v>43034</v>
      </c>
      <c r="H211" s="67"/>
      <c r="I211" s="65">
        <v>29</v>
      </c>
      <c r="J211" s="68">
        <f t="shared" si="74"/>
        <v>4677.4193548387093</v>
      </c>
      <c r="K211" s="68">
        <f t="shared" si="61"/>
        <v>0</v>
      </c>
      <c r="L211" s="68">
        <f t="shared" si="62"/>
        <v>233.87096774193549</v>
      </c>
      <c r="M211" s="68"/>
      <c r="N211" s="68">
        <f t="shared" si="75"/>
        <v>748.38709677419354</v>
      </c>
      <c r="O211" s="68"/>
      <c r="P211" s="68">
        <f>((4230+1018)/I$3)*I211</f>
        <v>4909.4193548387093</v>
      </c>
      <c r="Q211" s="68">
        <v>0</v>
      </c>
      <c r="R211" s="68">
        <v>0</v>
      </c>
      <c r="S211" s="68">
        <f t="shared" si="63"/>
        <v>10569.096774193547</v>
      </c>
      <c r="T211" s="69">
        <f t="shared" si="64"/>
        <v>561.29032258064512</v>
      </c>
      <c r="U211" s="69">
        <f t="shared" si="76"/>
        <v>185</v>
      </c>
      <c r="V211" s="68">
        <v>0</v>
      </c>
      <c r="W211" s="68">
        <v>12</v>
      </c>
      <c r="X211" s="68">
        <f t="shared" si="65"/>
        <v>758.29032258064512</v>
      </c>
      <c r="Y211" s="68">
        <f t="shared" si="66"/>
        <v>9810.8064516129016</v>
      </c>
      <c r="Z211" s="68"/>
      <c r="AA211" s="68">
        <f t="shared" si="67"/>
        <v>9810.8064516129016</v>
      </c>
      <c r="AB211" s="69">
        <f t="shared" si="68"/>
        <v>615.08064516129025</v>
      </c>
      <c r="AC211" s="69">
        <f t="shared" si="77"/>
        <v>503</v>
      </c>
      <c r="AD211" s="70">
        <f t="shared" si="70"/>
        <v>36</v>
      </c>
      <c r="AE211" s="71">
        <f t="shared" si="71"/>
        <v>1154.0806451612902</v>
      </c>
      <c r="AF211" s="71">
        <f t="shared" si="72"/>
        <v>11723.177419354837</v>
      </c>
    </row>
    <row r="212" spans="1:32" x14ac:dyDescent="0.2">
      <c r="A212" s="64" t="s">
        <v>1391</v>
      </c>
      <c r="B212" s="65">
        <v>207</v>
      </c>
      <c r="C212" s="65" t="s">
        <v>1366</v>
      </c>
      <c r="D212" s="64" t="s">
        <v>1391</v>
      </c>
      <c r="E212" s="66" t="s">
        <v>50</v>
      </c>
      <c r="F212" s="65" t="s">
        <v>238</v>
      </c>
      <c r="G212" s="67">
        <v>43038</v>
      </c>
      <c r="H212" s="67"/>
      <c r="I212" s="65">
        <v>24</v>
      </c>
      <c r="J212" s="68">
        <f t="shared" si="74"/>
        <v>3870.9677419354839</v>
      </c>
      <c r="K212" s="68">
        <f t="shared" si="61"/>
        <v>0</v>
      </c>
      <c r="L212" s="68">
        <f t="shared" si="62"/>
        <v>193.54838709677421</v>
      </c>
      <c r="M212" s="68"/>
      <c r="N212" s="68">
        <f t="shared" si="75"/>
        <v>619.35483870967732</v>
      </c>
      <c r="O212" s="68"/>
      <c r="P212" s="68">
        <f>((4230+1018)/I$3)*I212</f>
        <v>4062.9677419354839</v>
      </c>
      <c r="Q212" s="68">
        <v>0</v>
      </c>
      <c r="R212" s="68">
        <v>0</v>
      </c>
      <c r="S212" s="68">
        <f t="shared" si="63"/>
        <v>8746.8387096774204</v>
      </c>
      <c r="T212" s="69">
        <f t="shared" si="64"/>
        <v>464.51612903225805</v>
      </c>
      <c r="U212" s="69">
        <f t="shared" si="76"/>
        <v>154</v>
      </c>
      <c r="V212" s="68">
        <v>0</v>
      </c>
      <c r="W212" s="68">
        <v>12</v>
      </c>
      <c r="X212" s="68">
        <f t="shared" si="65"/>
        <v>630.51612903225805</v>
      </c>
      <c r="Y212" s="68">
        <f t="shared" si="66"/>
        <v>8116.3225806451628</v>
      </c>
      <c r="Z212" s="68"/>
      <c r="AA212" s="68">
        <f t="shared" si="67"/>
        <v>8116.3225806451628</v>
      </c>
      <c r="AB212" s="69">
        <f t="shared" si="68"/>
        <v>509.03225806451616</v>
      </c>
      <c r="AC212" s="69">
        <f t="shared" si="77"/>
        <v>416</v>
      </c>
      <c r="AD212" s="70">
        <f t="shared" si="70"/>
        <v>36</v>
      </c>
      <c r="AE212" s="71">
        <f t="shared" si="71"/>
        <v>961.0322580645161</v>
      </c>
      <c r="AF212" s="71">
        <f t="shared" si="72"/>
        <v>9707.8709677419356</v>
      </c>
    </row>
    <row r="213" spans="1:32" x14ac:dyDescent="0.2">
      <c r="A213" s="64" t="s">
        <v>1392</v>
      </c>
      <c r="B213" s="65">
        <v>208</v>
      </c>
      <c r="C213" s="65" t="s">
        <v>1367</v>
      </c>
      <c r="D213" s="64" t="s">
        <v>1392</v>
      </c>
      <c r="E213" s="66" t="s">
        <v>50</v>
      </c>
      <c r="F213" s="65" t="s">
        <v>239</v>
      </c>
      <c r="G213" s="67">
        <v>43018</v>
      </c>
      <c r="H213" s="67"/>
      <c r="I213" s="65">
        <v>36</v>
      </c>
      <c r="J213" s="68">
        <f t="shared" si="74"/>
        <v>5806.4516129032254</v>
      </c>
      <c r="K213" s="68">
        <f t="shared" si="61"/>
        <v>0</v>
      </c>
      <c r="L213" s="68">
        <f t="shared" si="62"/>
        <v>290.32258064516128</v>
      </c>
      <c r="M213" s="68"/>
      <c r="N213" s="68">
        <f t="shared" si="75"/>
        <v>929.0322580645161</v>
      </c>
      <c r="O213" s="68"/>
      <c r="P213" s="68">
        <f>((4230)/I$3)*I213</f>
        <v>4912.2580645161288</v>
      </c>
      <c r="Q213" s="68">
        <v>0</v>
      </c>
      <c r="R213" s="68">
        <v>0</v>
      </c>
      <c r="S213" s="68">
        <f t="shared" si="63"/>
        <v>11938.06451612903</v>
      </c>
      <c r="T213" s="69">
        <f t="shared" si="64"/>
        <v>696.77419354838707</v>
      </c>
      <c r="U213" s="69">
        <f t="shared" si="76"/>
        <v>209</v>
      </c>
      <c r="V213" s="68">
        <v>0</v>
      </c>
      <c r="W213" s="68">
        <v>12</v>
      </c>
      <c r="X213" s="68">
        <f t="shared" si="65"/>
        <v>917.77419354838707</v>
      </c>
      <c r="Y213" s="68">
        <f t="shared" si="66"/>
        <v>11020.290322580644</v>
      </c>
      <c r="Z213" s="68"/>
      <c r="AA213" s="68">
        <f t="shared" si="67"/>
        <v>11020.290322580644</v>
      </c>
      <c r="AB213" s="69">
        <f t="shared" si="68"/>
        <v>763.54838709677415</v>
      </c>
      <c r="AC213" s="69">
        <f t="shared" si="77"/>
        <v>568</v>
      </c>
      <c r="AD213" s="70">
        <f t="shared" si="70"/>
        <v>36</v>
      </c>
      <c r="AE213" s="71">
        <f t="shared" si="71"/>
        <v>1367.5483870967741</v>
      </c>
      <c r="AF213" s="71">
        <f t="shared" si="72"/>
        <v>13305.612903225805</v>
      </c>
    </row>
    <row r="214" spans="1:32" x14ac:dyDescent="0.2">
      <c r="A214" s="64" t="s">
        <v>1377</v>
      </c>
      <c r="B214" s="65">
        <v>209</v>
      </c>
      <c r="C214" s="65" t="s">
        <v>1347</v>
      </c>
      <c r="D214" s="64" t="s">
        <v>1377</v>
      </c>
      <c r="E214" s="66" t="s">
        <v>50</v>
      </c>
      <c r="F214" s="66" t="s">
        <v>581</v>
      </c>
      <c r="G214" s="67">
        <v>43029</v>
      </c>
      <c r="H214" s="67"/>
      <c r="I214" s="65">
        <v>36</v>
      </c>
      <c r="J214" s="68">
        <f t="shared" si="74"/>
        <v>5806.4516129032254</v>
      </c>
      <c r="K214" s="68">
        <f t="shared" si="61"/>
        <v>0</v>
      </c>
      <c r="L214" s="68">
        <f t="shared" si="62"/>
        <v>290.32258064516128</v>
      </c>
      <c r="M214" s="68"/>
      <c r="N214" s="68">
        <f t="shared" si="75"/>
        <v>929.0322580645161</v>
      </c>
      <c r="O214" s="68"/>
      <c r="P214" s="68">
        <f>((4230)/I$3)*I214</f>
        <v>4912.2580645161288</v>
      </c>
      <c r="Q214" s="68">
        <v>0</v>
      </c>
      <c r="R214" s="68">
        <v>0</v>
      </c>
      <c r="S214" s="68">
        <f t="shared" si="63"/>
        <v>11938.06451612903</v>
      </c>
      <c r="T214" s="69">
        <f t="shared" si="64"/>
        <v>696.77419354838707</v>
      </c>
      <c r="U214" s="69">
        <f t="shared" si="76"/>
        <v>209</v>
      </c>
      <c r="V214" s="68">
        <v>0</v>
      </c>
      <c r="W214" s="68">
        <v>12</v>
      </c>
      <c r="X214" s="68">
        <f t="shared" si="65"/>
        <v>917.77419354838707</v>
      </c>
      <c r="Y214" s="68">
        <f t="shared" si="66"/>
        <v>11020.290322580644</v>
      </c>
      <c r="Z214" s="68"/>
      <c r="AA214" s="68">
        <f t="shared" si="67"/>
        <v>11020.290322580644</v>
      </c>
      <c r="AB214" s="69">
        <f t="shared" si="68"/>
        <v>763.54838709677415</v>
      </c>
      <c r="AC214" s="69">
        <f t="shared" si="77"/>
        <v>568</v>
      </c>
      <c r="AD214" s="70">
        <f t="shared" si="70"/>
        <v>36</v>
      </c>
      <c r="AE214" s="71">
        <f t="shared" si="71"/>
        <v>1367.5483870967741</v>
      </c>
      <c r="AF214" s="71">
        <f t="shared" si="72"/>
        <v>13305.612903225805</v>
      </c>
    </row>
    <row r="215" spans="1:32" x14ac:dyDescent="0.2">
      <c r="A215" s="64" t="s">
        <v>1385</v>
      </c>
      <c r="B215" s="65">
        <v>210</v>
      </c>
      <c r="C215" s="65" t="s">
        <v>1360</v>
      </c>
      <c r="D215" s="64" t="s">
        <v>1385</v>
      </c>
      <c r="E215" s="66" t="s">
        <v>50</v>
      </c>
      <c r="F215" s="65" t="s">
        <v>484</v>
      </c>
      <c r="G215" s="67">
        <v>43009</v>
      </c>
      <c r="H215" s="67"/>
      <c r="I215" s="65">
        <v>37</v>
      </c>
      <c r="J215" s="68">
        <f t="shared" si="74"/>
        <v>5967.7419354838703</v>
      </c>
      <c r="K215" s="68">
        <f t="shared" si="61"/>
        <v>0</v>
      </c>
      <c r="L215" s="68">
        <f t="shared" si="62"/>
        <v>298.38709677419354</v>
      </c>
      <c r="M215" s="68"/>
      <c r="N215" s="68">
        <f t="shared" si="75"/>
        <v>954.83870967741927</v>
      </c>
      <c r="O215" s="68"/>
      <c r="P215" s="68">
        <f>((4230)/I$3)*I215</f>
        <v>5048.7096774193542</v>
      </c>
      <c r="Q215" s="68">
        <v>0</v>
      </c>
      <c r="R215" s="68">
        <v>0</v>
      </c>
      <c r="S215" s="68">
        <f t="shared" si="63"/>
        <v>12269.677419354837</v>
      </c>
      <c r="T215" s="69">
        <f t="shared" si="64"/>
        <v>716.1290322580644</v>
      </c>
      <c r="U215" s="69">
        <f t="shared" si="76"/>
        <v>215</v>
      </c>
      <c r="V215" s="68">
        <v>0</v>
      </c>
      <c r="W215" s="68">
        <v>12</v>
      </c>
      <c r="X215" s="68">
        <f t="shared" si="65"/>
        <v>943.1290322580644</v>
      </c>
      <c r="Y215" s="68">
        <f t="shared" si="66"/>
        <v>11326.548387096773</v>
      </c>
      <c r="Z215" s="68"/>
      <c r="AA215" s="68">
        <f t="shared" si="67"/>
        <v>11326.548387096773</v>
      </c>
      <c r="AB215" s="69">
        <f t="shared" si="68"/>
        <v>784.75806451612902</v>
      </c>
      <c r="AC215" s="69">
        <f t="shared" si="77"/>
        <v>583</v>
      </c>
      <c r="AD215" s="70">
        <f t="shared" si="70"/>
        <v>36</v>
      </c>
      <c r="AE215" s="71">
        <f t="shared" si="71"/>
        <v>1403.758064516129</v>
      </c>
      <c r="AF215" s="71">
        <f t="shared" si="72"/>
        <v>13673.435483870966</v>
      </c>
    </row>
    <row r="216" spans="1:32" x14ac:dyDescent="0.2">
      <c r="A216" s="64" t="s">
        <v>1386</v>
      </c>
      <c r="B216" s="65">
        <v>211</v>
      </c>
      <c r="C216" s="65" t="s">
        <v>1362</v>
      </c>
      <c r="D216" s="64" t="s">
        <v>1386</v>
      </c>
      <c r="E216" s="66" t="s">
        <v>50</v>
      </c>
      <c r="F216" s="65" t="s">
        <v>484</v>
      </c>
      <c r="G216" s="67">
        <v>43033</v>
      </c>
      <c r="H216" s="67"/>
      <c r="I216" s="65">
        <v>12</v>
      </c>
      <c r="J216" s="68">
        <f t="shared" si="74"/>
        <v>1935.483870967742</v>
      </c>
      <c r="K216" s="68">
        <f t="shared" si="61"/>
        <v>0</v>
      </c>
      <c r="L216" s="68">
        <f t="shared" si="62"/>
        <v>96.774193548387103</v>
      </c>
      <c r="M216" s="68"/>
      <c r="N216" s="68">
        <f t="shared" si="75"/>
        <v>309.67741935483866</v>
      </c>
      <c r="O216" s="68"/>
      <c r="P216" s="68">
        <f>((4230)/I$3)*I216</f>
        <v>1637.4193548387095</v>
      </c>
      <c r="Q216" s="68">
        <v>0</v>
      </c>
      <c r="R216" s="68">
        <v>0</v>
      </c>
      <c r="S216" s="68">
        <f t="shared" si="63"/>
        <v>3979.3548387096771</v>
      </c>
      <c r="T216" s="69">
        <f t="shared" si="64"/>
        <v>232.25806451612902</v>
      </c>
      <c r="U216" s="69">
        <f t="shared" si="76"/>
        <v>70</v>
      </c>
      <c r="V216" s="68">
        <v>0</v>
      </c>
      <c r="W216" s="68">
        <v>12</v>
      </c>
      <c r="X216" s="68">
        <f t="shared" si="65"/>
        <v>314.25806451612902</v>
      </c>
      <c r="Y216" s="68">
        <f t="shared" si="66"/>
        <v>3665.0967741935483</v>
      </c>
      <c r="Z216" s="68"/>
      <c r="AA216" s="68">
        <f t="shared" si="67"/>
        <v>3665.0967741935483</v>
      </c>
      <c r="AB216" s="69">
        <f t="shared" si="68"/>
        <v>254.51612903225808</v>
      </c>
      <c r="AC216" s="69">
        <f t="shared" si="77"/>
        <v>190</v>
      </c>
      <c r="AD216" s="70">
        <f t="shared" si="70"/>
        <v>36</v>
      </c>
      <c r="AE216" s="71">
        <f t="shared" si="71"/>
        <v>480.51612903225805</v>
      </c>
      <c r="AF216" s="71">
        <f t="shared" si="72"/>
        <v>4459.8709677419356</v>
      </c>
    </row>
    <row r="217" spans="1:32" x14ac:dyDescent="0.2">
      <c r="A217" s="64" t="s">
        <v>1379</v>
      </c>
      <c r="B217" s="65">
        <v>212</v>
      </c>
      <c r="C217" s="65" t="s">
        <v>1349</v>
      </c>
      <c r="D217" s="64" t="s">
        <v>1379</v>
      </c>
      <c r="E217" s="66" t="s">
        <v>50</v>
      </c>
      <c r="F217" s="65" t="s">
        <v>234</v>
      </c>
      <c r="G217" s="67">
        <v>43013</v>
      </c>
      <c r="H217" s="67"/>
      <c r="I217" s="65">
        <v>30</v>
      </c>
      <c r="J217" s="68">
        <f t="shared" si="74"/>
        <v>4838.7096774193542</v>
      </c>
      <c r="K217" s="68">
        <f t="shared" si="61"/>
        <v>0</v>
      </c>
      <c r="L217" s="68">
        <f t="shared" si="62"/>
        <v>241.93548387096772</v>
      </c>
      <c r="M217" s="68"/>
      <c r="N217" s="68">
        <f t="shared" si="75"/>
        <v>774.19354838709671</v>
      </c>
      <c r="O217" s="68"/>
      <c r="P217" s="68">
        <f>((4230+1018)/I$3)*I217</f>
        <v>5078.7096774193542</v>
      </c>
      <c r="Q217" s="68">
        <v>0</v>
      </c>
      <c r="R217" s="68">
        <v>0</v>
      </c>
      <c r="S217" s="68">
        <f t="shared" si="63"/>
        <v>10933.548387096773</v>
      </c>
      <c r="T217" s="69">
        <f t="shared" si="64"/>
        <v>580.64516129032245</v>
      </c>
      <c r="U217" s="69">
        <f t="shared" si="76"/>
        <v>192</v>
      </c>
      <c r="V217" s="68">
        <v>0</v>
      </c>
      <c r="W217" s="68">
        <v>12</v>
      </c>
      <c r="X217" s="68">
        <f t="shared" si="65"/>
        <v>784.64516129032245</v>
      </c>
      <c r="Y217" s="68">
        <f t="shared" si="66"/>
        <v>10148.903225806451</v>
      </c>
      <c r="Z217" s="68"/>
      <c r="AA217" s="68">
        <f t="shared" si="67"/>
        <v>10148.903225806451</v>
      </c>
      <c r="AB217" s="69">
        <f t="shared" si="68"/>
        <v>636.29032258064512</v>
      </c>
      <c r="AC217" s="69">
        <f t="shared" si="77"/>
        <v>520</v>
      </c>
      <c r="AD217" s="70">
        <f t="shared" si="70"/>
        <v>36</v>
      </c>
      <c r="AE217" s="71">
        <f t="shared" si="71"/>
        <v>1192.2903225806451</v>
      </c>
      <c r="AF217" s="71">
        <f t="shared" si="72"/>
        <v>12125.838709677419</v>
      </c>
    </row>
    <row r="218" spans="1:32" x14ac:dyDescent="0.2">
      <c r="A218" s="64" t="s">
        <v>1381</v>
      </c>
      <c r="B218" s="65">
        <v>213</v>
      </c>
      <c r="C218" s="65" t="s">
        <v>1352</v>
      </c>
      <c r="D218" s="64" t="s">
        <v>1381</v>
      </c>
      <c r="E218" s="66" t="s">
        <v>50</v>
      </c>
      <c r="F218" s="65" t="s">
        <v>234</v>
      </c>
      <c r="G218" s="67">
        <v>43019</v>
      </c>
      <c r="H218" s="67"/>
      <c r="I218" s="65">
        <v>30</v>
      </c>
      <c r="J218" s="68">
        <f t="shared" si="74"/>
        <v>4838.7096774193542</v>
      </c>
      <c r="K218" s="68">
        <f t="shared" si="61"/>
        <v>0</v>
      </c>
      <c r="L218" s="68">
        <f t="shared" si="62"/>
        <v>241.93548387096772</v>
      </c>
      <c r="M218" s="68"/>
      <c r="N218" s="68">
        <f t="shared" si="75"/>
        <v>774.19354838709671</v>
      </c>
      <c r="O218" s="68"/>
      <c r="P218" s="68">
        <f>((4230+1018)/I$3)*I218</f>
        <v>5078.7096774193542</v>
      </c>
      <c r="Q218" s="68">
        <v>0</v>
      </c>
      <c r="R218" s="68">
        <v>0</v>
      </c>
      <c r="S218" s="68">
        <f t="shared" si="63"/>
        <v>10933.548387096773</v>
      </c>
      <c r="T218" s="69">
        <f t="shared" si="64"/>
        <v>580.64516129032245</v>
      </c>
      <c r="U218" s="69">
        <f t="shared" si="76"/>
        <v>192</v>
      </c>
      <c r="V218" s="68">
        <v>0</v>
      </c>
      <c r="W218" s="68">
        <v>12</v>
      </c>
      <c r="X218" s="68">
        <f t="shared" si="65"/>
        <v>784.64516129032245</v>
      </c>
      <c r="Y218" s="68">
        <f t="shared" si="66"/>
        <v>10148.903225806451</v>
      </c>
      <c r="Z218" s="68"/>
      <c r="AA218" s="68">
        <f t="shared" si="67"/>
        <v>10148.903225806451</v>
      </c>
      <c r="AB218" s="69">
        <f t="shared" si="68"/>
        <v>636.29032258064512</v>
      </c>
      <c r="AC218" s="69">
        <f t="shared" si="77"/>
        <v>520</v>
      </c>
      <c r="AD218" s="70">
        <f t="shared" si="70"/>
        <v>36</v>
      </c>
      <c r="AE218" s="71">
        <f t="shared" si="71"/>
        <v>1192.2903225806451</v>
      </c>
      <c r="AF218" s="71">
        <f t="shared" si="72"/>
        <v>12125.838709677419</v>
      </c>
    </row>
    <row r="219" spans="1:32" x14ac:dyDescent="0.2">
      <c r="A219" s="64" t="s">
        <v>1496</v>
      </c>
      <c r="B219" s="65">
        <v>214</v>
      </c>
      <c r="C219" s="65" t="s">
        <v>1495</v>
      </c>
      <c r="D219" s="64" t="s">
        <v>1496</v>
      </c>
      <c r="E219" s="66" t="s">
        <v>50</v>
      </c>
      <c r="F219" s="65" t="s">
        <v>234</v>
      </c>
      <c r="G219" s="67">
        <v>43019</v>
      </c>
      <c r="H219" s="67"/>
      <c r="I219" s="65">
        <v>13</v>
      </c>
      <c r="J219" s="68">
        <f>(5000/30)*I219</f>
        <v>2166.6666666666665</v>
      </c>
      <c r="K219" s="68">
        <f t="shared" si="61"/>
        <v>0</v>
      </c>
      <c r="L219" s="68">
        <f t="shared" si="62"/>
        <v>108.33333333333333</v>
      </c>
      <c r="M219" s="68"/>
      <c r="N219" s="68">
        <f>((800)/30)*I219</f>
        <v>346.66666666666669</v>
      </c>
      <c r="O219" s="68"/>
      <c r="P219" s="68">
        <f>((5248)/30)*I219</f>
        <v>2274.1333333333332</v>
      </c>
      <c r="Q219" s="68">
        <v>0</v>
      </c>
      <c r="R219" s="68">
        <v>0</v>
      </c>
      <c r="S219" s="68">
        <f t="shared" si="63"/>
        <v>4895.7999999999993</v>
      </c>
      <c r="T219" s="69">
        <f t="shared" si="64"/>
        <v>260</v>
      </c>
      <c r="U219" s="69">
        <f t="shared" si="76"/>
        <v>86</v>
      </c>
      <c r="V219" s="68">
        <v>0</v>
      </c>
      <c r="W219" s="68">
        <v>0</v>
      </c>
      <c r="X219" s="68">
        <f t="shared" si="65"/>
        <v>346</v>
      </c>
      <c r="Y219" s="68">
        <f t="shared" si="66"/>
        <v>4549.7999999999993</v>
      </c>
      <c r="Z219" s="68"/>
      <c r="AA219" s="68">
        <f t="shared" si="67"/>
        <v>4549.7999999999993</v>
      </c>
      <c r="AB219" s="69">
        <f t="shared" si="68"/>
        <v>284.91666666666669</v>
      </c>
      <c r="AC219" s="69">
        <f t="shared" si="77"/>
        <v>233</v>
      </c>
      <c r="AD219" s="70">
        <f t="shared" si="70"/>
        <v>0</v>
      </c>
      <c r="AE219" s="71">
        <f t="shared" si="71"/>
        <v>517.91666666666674</v>
      </c>
      <c r="AF219" s="71">
        <f t="shared" si="72"/>
        <v>5413.7166666666662</v>
      </c>
    </row>
    <row r="220" spans="1:32" x14ac:dyDescent="0.2">
      <c r="A220" s="64" t="s">
        <v>1382</v>
      </c>
      <c r="B220" s="65">
        <v>215</v>
      </c>
      <c r="C220" s="65" t="s">
        <v>1354</v>
      </c>
      <c r="D220" s="64" t="s">
        <v>1382</v>
      </c>
      <c r="E220" s="66" t="s">
        <v>50</v>
      </c>
      <c r="F220" s="65" t="s">
        <v>234</v>
      </c>
      <c r="G220" s="67">
        <v>43019</v>
      </c>
      <c r="H220" s="67"/>
      <c r="I220" s="65">
        <v>10</v>
      </c>
      <c r="J220" s="68">
        <f t="shared" ref="J220:J251" si="78">(5000/I$3)*I220</f>
        <v>1612.9032258064515</v>
      </c>
      <c r="K220" s="68">
        <f t="shared" si="61"/>
        <v>0</v>
      </c>
      <c r="L220" s="68">
        <f t="shared" si="62"/>
        <v>80.645161290322577</v>
      </c>
      <c r="M220" s="68"/>
      <c r="N220" s="68">
        <f t="shared" ref="N220:N251" si="79">((800)/I$3)*I220</f>
        <v>258.06451612903226</v>
      </c>
      <c r="O220" s="68"/>
      <c r="P220" s="68">
        <f>((4230+1018)/I$3)*I220</f>
        <v>1692.9032258064515</v>
      </c>
      <c r="Q220" s="68">
        <v>0</v>
      </c>
      <c r="R220" s="68">
        <v>0</v>
      </c>
      <c r="S220" s="68">
        <f t="shared" si="63"/>
        <v>3644.5161290322576</v>
      </c>
      <c r="T220" s="69">
        <f t="shared" si="64"/>
        <v>193.54838709677418</v>
      </c>
      <c r="U220" s="69">
        <f t="shared" si="76"/>
        <v>64</v>
      </c>
      <c r="V220" s="68">
        <v>0</v>
      </c>
      <c r="W220" s="68">
        <v>12</v>
      </c>
      <c r="X220" s="68">
        <f t="shared" si="65"/>
        <v>269.54838709677415</v>
      </c>
      <c r="Y220" s="68">
        <f t="shared" si="66"/>
        <v>3374.9677419354834</v>
      </c>
      <c r="Z220" s="68"/>
      <c r="AA220" s="68">
        <f t="shared" si="67"/>
        <v>3374.9677419354834</v>
      </c>
      <c r="AB220" s="69">
        <f t="shared" si="68"/>
        <v>212.09677419354838</v>
      </c>
      <c r="AC220" s="69">
        <f t="shared" si="77"/>
        <v>174</v>
      </c>
      <c r="AD220" s="70">
        <f t="shared" si="70"/>
        <v>36</v>
      </c>
      <c r="AE220" s="71">
        <f t="shared" si="71"/>
        <v>422.09677419354841</v>
      </c>
      <c r="AF220" s="71">
        <f t="shared" si="72"/>
        <v>4066.6129032258059</v>
      </c>
    </row>
    <row r="221" spans="1:32" x14ac:dyDescent="0.2">
      <c r="A221" s="64" t="s">
        <v>1383</v>
      </c>
      <c r="B221" s="65">
        <v>216</v>
      </c>
      <c r="C221" s="65" t="s">
        <v>1355</v>
      </c>
      <c r="D221" s="64" t="s">
        <v>1383</v>
      </c>
      <c r="E221" s="66" t="s">
        <v>50</v>
      </c>
      <c r="F221" s="65" t="s">
        <v>234</v>
      </c>
      <c r="G221" s="67">
        <v>43034</v>
      </c>
      <c r="H221" s="67"/>
      <c r="I221" s="65">
        <v>2.5</v>
      </c>
      <c r="J221" s="68">
        <f t="shared" si="78"/>
        <v>403.22580645161287</v>
      </c>
      <c r="K221" s="68">
        <f t="shared" si="61"/>
        <v>0</v>
      </c>
      <c r="L221" s="68">
        <f t="shared" si="62"/>
        <v>20.161290322580644</v>
      </c>
      <c r="M221" s="68"/>
      <c r="N221" s="68">
        <f t="shared" si="79"/>
        <v>64.516129032258064</v>
      </c>
      <c r="O221" s="68"/>
      <c r="P221" s="68">
        <f>((4230+1018)/I$3)*I221</f>
        <v>423.22580645161287</v>
      </c>
      <c r="Q221" s="68">
        <v>0</v>
      </c>
      <c r="R221" s="68">
        <v>0</v>
      </c>
      <c r="S221" s="68">
        <f t="shared" si="63"/>
        <v>911.1290322580644</v>
      </c>
      <c r="T221" s="69">
        <f t="shared" si="64"/>
        <v>48.387096774193544</v>
      </c>
      <c r="U221" s="69">
        <f t="shared" si="76"/>
        <v>16</v>
      </c>
      <c r="V221" s="68">
        <v>0</v>
      </c>
      <c r="W221" s="68">
        <v>12</v>
      </c>
      <c r="X221" s="68">
        <f t="shared" si="65"/>
        <v>76.387096774193537</v>
      </c>
      <c r="Y221" s="68">
        <f t="shared" si="66"/>
        <v>834.74193548387086</v>
      </c>
      <c r="Z221" s="68"/>
      <c r="AA221" s="68">
        <f t="shared" si="67"/>
        <v>834.74193548387086</v>
      </c>
      <c r="AB221" s="69">
        <f t="shared" si="68"/>
        <v>53.024193548387096</v>
      </c>
      <c r="AC221" s="69">
        <f t="shared" si="77"/>
        <v>44</v>
      </c>
      <c r="AD221" s="70">
        <f t="shared" si="70"/>
        <v>36</v>
      </c>
      <c r="AE221" s="71">
        <f t="shared" si="71"/>
        <v>133.0241935483871</v>
      </c>
      <c r="AF221" s="71">
        <f t="shared" si="72"/>
        <v>1044.1532258064515</v>
      </c>
    </row>
    <row r="222" spans="1:32" x14ac:dyDescent="0.2">
      <c r="A222" s="64" t="s">
        <v>1384</v>
      </c>
      <c r="B222" s="65">
        <v>217</v>
      </c>
      <c r="C222" s="65" t="s">
        <v>84</v>
      </c>
      <c r="D222" s="64" t="s">
        <v>1384</v>
      </c>
      <c r="E222" s="66" t="s">
        <v>50</v>
      </c>
      <c r="F222" s="65" t="s">
        <v>234</v>
      </c>
      <c r="G222" s="67">
        <v>43034</v>
      </c>
      <c r="H222" s="67"/>
      <c r="I222" s="65">
        <v>2</v>
      </c>
      <c r="J222" s="68">
        <f t="shared" si="78"/>
        <v>322.58064516129031</v>
      </c>
      <c r="K222" s="68">
        <f t="shared" si="61"/>
        <v>0</v>
      </c>
      <c r="L222" s="68">
        <f t="shared" si="62"/>
        <v>16.129032258064516</v>
      </c>
      <c r="M222" s="68"/>
      <c r="N222" s="68">
        <f t="shared" si="79"/>
        <v>51.612903225806448</v>
      </c>
      <c r="O222" s="68"/>
      <c r="P222" s="68">
        <f>((4230+1018)/I$3)*I222</f>
        <v>338.58064516129031</v>
      </c>
      <c r="Q222" s="68">
        <v>0</v>
      </c>
      <c r="R222" s="68">
        <v>0</v>
      </c>
      <c r="S222" s="68">
        <f t="shared" si="63"/>
        <v>728.90322580645159</v>
      </c>
      <c r="T222" s="69">
        <f t="shared" si="64"/>
        <v>38.709677419354833</v>
      </c>
      <c r="U222" s="69">
        <f t="shared" si="76"/>
        <v>13</v>
      </c>
      <c r="V222" s="68">
        <v>0</v>
      </c>
      <c r="W222" s="68">
        <v>12</v>
      </c>
      <c r="X222" s="68">
        <f t="shared" si="65"/>
        <v>63.709677419354833</v>
      </c>
      <c r="Y222" s="68">
        <f t="shared" si="66"/>
        <v>665.19354838709671</v>
      </c>
      <c r="Z222" s="68"/>
      <c r="AA222" s="68">
        <f t="shared" si="67"/>
        <v>665.19354838709671</v>
      </c>
      <c r="AB222" s="69">
        <f t="shared" si="68"/>
        <v>42.41935483870968</v>
      </c>
      <c r="AC222" s="69">
        <f t="shared" si="77"/>
        <v>35</v>
      </c>
      <c r="AD222" s="70">
        <f t="shared" si="70"/>
        <v>36</v>
      </c>
      <c r="AE222" s="71">
        <f t="shared" si="71"/>
        <v>113.41935483870968</v>
      </c>
      <c r="AF222" s="71">
        <f t="shared" si="72"/>
        <v>842.32258064516122</v>
      </c>
    </row>
    <row r="223" spans="1:32" x14ac:dyDescent="0.2">
      <c r="A223" s="64" t="s">
        <v>1378</v>
      </c>
      <c r="B223" s="65">
        <v>218</v>
      </c>
      <c r="C223" s="65" t="s">
        <v>214</v>
      </c>
      <c r="D223" s="64" t="s">
        <v>1378</v>
      </c>
      <c r="E223" s="66" t="s">
        <v>50</v>
      </c>
      <c r="F223" s="65" t="s">
        <v>234</v>
      </c>
      <c r="G223" s="67">
        <v>43013</v>
      </c>
      <c r="H223" s="67"/>
      <c r="I223" s="65">
        <v>36</v>
      </c>
      <c r="J223" s="68">
        <f t="shared" si="78"/>
        <v>5806.4516129032254</v>
      </c>
      <c r="K223" s="68">
        <f t="shared" si="61"/>
        <v>0</v>
      </c>
      <c r="L223" s="68">
        <f t="shared" si="62"/>
        <v>290.32258064516128</v>
      </c>
      <c r="M223" s="68"/>
      <c r="N223" s="68">
        <f t="shared" si="79"/>
        <v>929.0322580645161</v>
      </c>
      <c r="O223" s="68"/>
      <c r="P223" s="68">
        <f>((4230+1018)/I$3)*I223</f>
        <v>6094.4516129032254</v>
      </c>
      <c r="Q223" s="68">
        <v>0</v>
      </c>
      <c r="R223" s="68">
        <v>0</v>
      </c>
      <c r="S223" s="68">
        <f t="shared" si="63"/>
        <v>13120.258064516129</v>
      </c>
      <c r="T223" s="69">
        <f t="shared" si="64"/>
        <v>696.77419354838707</v>
      </c>
      <c r="U223" s="69">
        <f t="shared" si="76"/>
        <v>230</v>
      </c>
      <c r="V223" s="68">
        <v>0</v>
      </c>
      <c r="W223" s="68">
        <v>12</v>
      </c>
      <c r="X223" s="68">
        <f t="shared" si="65"/>
        <v>938.77419354838707</v>
      </c>
      <c r="Y223" s="68">
        <f t="shared" si="66"/>
        <v>12181.483870967742</v>
      </c>
      <c r="Z223" s="68"/>
      <c r="AA223" s="68">
        <f t="shared" si="67"/>
        <v>12181.483870967742</v>
      </c>
      <c r="AB223" s="69">
        <f t="shared" si="68"/>
        <v>763.54838709677415</v>
      </c>
      <c r="AC223" s="69">
        <f t="shared" si="77"/>
        <v>624</v>
      </c>
      <c r="AD223" s="70">
        <f t="shared" si="70"/>
        <v>36</v>
      </c>
      <c r="AE223" s="71">
        <f t="shared" si="71"/>
        <v>1423.5483870967741</v>
      </c>
      <c r="AF223" s="71">
        <f t="shared" si="72"/>
        <v>14543.806451612903</v>
      </c>
    </row>
    <row r="224" spans="1:32" x14ac:dyDescent="0.2">
      <c r="A224" s="64" t="s">
        <v>1380</v>
      </c>
      <c r="B224" s="65">
        <v>219</v>
      </c>
      <c r="C224" s="65" t="s">
        <v>403</v>
      </c>
      <c r="D224" s="64" t="s">
        <v>1380</v>
      </c>
      <c r="E224" s="66" t="s">
        <v>50</v>
      </c>
      <c r="F224" s="65" t="s">
        <v>234</v>
      </c>
      <c r="G224" s="67">
        <v>43014</v>
      </c>
      <c r="H224" s="67"/>
      <c r="I224" s="65">
        <v>34</v>
      </c>
      <c r="J224" s="68">
        <f t="shared" si="78"/>
        <v>5483.8709677419356</v>
      </c>
      <c r="K224" s="68">
        <f t="shared" si="61"/>
        <v>0</v>
      </c>
      <c r="L224" s="68">
        <f t="shared" si="62"/>
        <v>274.19354838709677</v>
      </c>
      <c r="M224" s="68"/>
      <c r="N224" s="68">
        <f t="shared" si="79"/>
        <v>877.41935483870964</v>
      </c>
      <c r="O224" s="68"/>
      <c r="P224" s="68">
        <f>((4230+1018)/I$3)*I224</f>
        <v>5755.8709677419356</v>
      </c>
      <c r="Q224" s="68">
        <v>0</v>
      </c>
      <c r="R224" s="68">
        <v>0</v>
      </c>
      <c r="S224" s="68">
        <f t="shared" si="63"/>
        <v>12391.354838709678</v>
      </c>
      <c r="T224" s="69">
        <f t="shared" si="64"/>
        <v>658.0645161290322</v>
      </c>
      <c r="U224" s="69">
        <f t="shared" si="76"/>
        <v>217</v>
      </c>
      <c r="V224" s="68">
        <v>0</v>
      </c>
      <c r="W224" s="68">
        <v>12</v>
      </c>
      <c r="X224" s="68">
        <f t="shared" si="65"/>
        <v>887.0645161290322</v>
      </c>
      <c r="Y224" s="68">
        <f t="shared" si="66"/>
        <v>11504.290322580646</v>
      </c>
      <c r="Z224" s="68"/>
      <c r="AA224" s="68">
        <f t="shared" si="67"/>
        <v>11504.290322580646</v>
      </c>
      <c r="AB224" s="69">
        <f t="shared" si="68"/>
        <v>721.12903225806451</v>
      </c>
      <c r="AC224" s="69">
        <f t="shared" si="77"/>
        <v>589</v>
      </c>
      <c r="AD224" s="70">
        <f t="shared" si="70"/>
        <v>36</v>
      </c>
      <c r="AE224" s="71">
        <f t="shared" si="71"/>
        <v>1346.1290322580644</v>
      </c>
      <c r="AF224" s="71">
        <f t="shared" si="72"/>
        <v>13737.483870967742</v>
      </c>
    </row>
    <row r="225" spans="1:32" x14ac:dyDescent="0.2">
      <c r="A225" s="64" t="s">
        <v>1387</v>
      </c>
      <c r="B225" s="65">
        <v>220</v>
      </c>
      <c r="C225" s="65" t="s">
        <v>384</v>
      </c>
      <c r="D225" s="64" t="s">
        <v>1387</v>
      </c>
      <c r="E225" s="66" t="s">
        <v>50</v>
      </c>
      <c r="F225" s="65" t="s">
        <v>484</v>
      </c>
      <c r="G225" s="67">
        <v>43032</v>
      </c>
      <c r="H225" s="67"/>
      <c r="I225" s="65">
        <v>9</v>
      </c>
      <c r="J225" s="68">
        <f t="shared" si="78"/>
        <v>1451.6129032258063</v>
      </c>
      <c r="K225" s="68">
        <f t="shared" si="61"/>
        <v>0</v>
      </c>
      <c r="L225" s="68">
        <f t="shared" si="62"/>
        <v>72.58064516129032</v>
      </c>
      <c r="M225" s="68"/>
      <c r="N225" s="68">
        <f t="shared" si="79"/>
        <v>232.25806451612902</v>
      </c>
      <c r="O225" s="68"/>
      <c r="P225" s="68">
        <f>((4230)/I$3)*I225</f>
        <v>1228.0645161290322</v>
      </c>
      <c r="Q225" s="68">
        <v>0</v>
      </c>
      <c r="R225" s="68">
        <v>0</v>
      </c>
      <c r="S225" s="68">
        <f t="shared" si="63"/>
        <v>2984.5161290322576</v>
      </c>
      <c r="T225" s="69">
        <f t="shared" si="64"/>
        <v>174.19354838709677</v>
      </c>
      <c r="U225" s="69">
        <f t="shared" si="76"/>
        <v>53</v>
      </c>
      <c r="V225" s="68">
        <v>0</v>
      </c>
      <c r="W225" s="68">
        <v>12</v>
      </c>
      <c r="X225" s="68">
        <f t="shared" si="65"/>
        <v>239.19354838709677</v>
      </c>
      <c r="Y225" s="68">
        <f t="shared" si="66"/>
        <v>2745.322580645161</v>
      </c>
      <c r="Z225" s="68"/>
      <c r="AA225" s="68">
        <f t="shared" si="67"/>
        <v>2745.322580645161</v>
      </c>
      <c r="AB225" s="69">
        <f t="shared" si="68"/>
        <v>190.88709677419354</v>
      </c>
      <c r="AC225" s="69">
        <f t="shared" si="77"/>
        <v>142</v>
      </c>
      <c r="AD225" s="70">
        <f t="shared" si="70"/>
        <v>36</v>
      </c>
      <c r="AE225" s="71">
        <f t="shared" si="71"/>
        <v>368.88709677419354</v>
      </c>
      <c r="AF225" s="71">
        <f t="shared" si="72"/>
        <v>3353.4032258064512</v>
      </c>
    </row>
    <row r="226" spans="1:32" x14ac:dyDescent="0.2">
      <c r="A226" s="64" t="s">
        <v>1437</v>
      </c>
      <c r="B226" s="65">
        <v>221</v>
      </c>
      <c r="C226" s="65" t="s">
        <v>1411</v>
      </c>
      <c r="D226" s="64" t="s">
        <v>1437</v>
      </c>
      <c r="E226" s="66" t="s">
        <v>50</v>
      </c>
      <c r="F226" s="65" t="s">
        <v>237</v>
      </c>
      <c r="G226" s="67">
        <v>43053</v>
      </c>
      <c r="H226" s="67"/>
      <c r="I226" s="65">
        <v>33</v>
      </c>
      <c r="J226" s="68">
        <f t="shared" si="78"/>
        <v>5322.5806451612898</v>
      </c>
      <c r="K226" s="68">
        <f t="shared" si="61"/>
        <v>0</v>
      </c>
      <c r="L226" s="68">
        <f t="shared" si="62"/>
        <v>266.12903225806451</v>
      </c>
      <c r="M226" s="68"/>
      <c r="N226" s="68">
        <f t="shared" si="79"/>
        <v>851.61290322580635</v>
      </c>
      <c r="O226" s="68"/>
      <c r="P226" s="68">
        <f t="shared" ref="P226:P232" si="80">((5248)/I$3)*I226</f>
        <v>5586.5806451612898</v>
      </c>
      <c r="Q226" s="68">
        <v>0</v>
      </c>
      <c r="R226" s="68">
        <v>0</v>
      </c>
      <c r="S226" s="68">
        <f t="shared" si="63"/>
        <v>12026.903225806451</v>
      </c>
      <c r="T226" s="69">
        <f t="shared" si="64"/>
        <v>638.70967741935476</v>
      </c>
      <c r="U226" s="69">
        <f t="shared" si="76"/>
        <v>211</v>
      </c>
      <c r="V226" s="68">
        <v>0</v>
      </c>
      <c r="W226" s="68">
        <v>12</v>
      </c>
      <c r="X226" s="68">
        <f t="shared" si="65"/>
        <v>861.70967741935476</v>
      </c>
      <c r="Y226" s="68">
        <f t="shared" si="66"/>
        <v>11165.193548387097</v>
      </c>
      <c r="Z226" s="68"/>
      <c r="AA226" s="68">
        <f t="shared" si="67"/>
        <v>11165.193548387097</v>
      </c>
      <c r="AB226" s="69">
        <f t="shared" si="68"/>
        <v>699.91935483870964</v>
      </c>
      <c r="AC226" s="69">
        <f t="shared" si="77"/>
        <v>572</v>
      </c>
      <c r="AD226" s="70">
        <f t="shared" si="70"/>
        <v>36</v>
      </c>
      <c r="AE226" s="71">
        <f t="shared" si="71"/>
        <v>1307.9193548387098</v>
      </c>
      <c r="AF226" s="71">
        <f t="shared" si="72"/>
        <v>13334.822580645161</v>
      </c>
    </row>
    <row r="227" spans="1:32" x14ac:dyDescent="0.2">
      <c r="A227" s="64" t="s">
        <v>1450</v>
      </c>
      <c r="B227" s="65">
        <v>222</v>
      </c>
      <c r="C227" s="65" t="s">
        <v>1412</v>
      </c>
      <c r="D227" s="64" t="s">
        <v>1450</v>
      </c>
      <c r="E227" s="66" t="s">
        <v>50</v>
      </c>
      <c r="F227" s="65" t="s">
        <v>237</v>
      </c>
      <c r="G227" s="67">
        <v>43053</v>
      </c>
      <c r="H227" s="67"/>
      <c r="I227" s="65">
        <v>24.5</v>
      </c>
      <c r="J227" s="68">
        <f t="shared" si="78"/>
        <v>3951.6129032258063</v>
      </c>
      <c r="K227" s="68">
        <f t="shared" si="61"/>
        <v>0</v>
      </c>
      <c r="L227" s="68">
        <f t="shared" si="62"/>
        <v>197.58064516129033</v>
      </c>
      <c r="M227" s="68"/>
      <c r="N227" s="68">
        <f t="shared" si="79"/>
        <v>632.25806451612902</v>
      </c>
      <c r="O227" s="68"/>
      <c r="P227" s="68">
        <f t="shared" si="80"/>
        <v>4147.6129032258059</v>
      </c>
      <c r="Q227" s="68">
        <v>0</v>
      </c>
      <c r="R227" s="68">
        <v>0</v>
      </c>
      <c r="S227" s="68">
        <f t="shared" si="63"/>
        <v>8929.0645161290304</v>
      </c>
      <c r="T227" s="69">
        <f t="shared" si="64"/>
        <v>474.19354838709677</v>
      </c>
      <c r="U227" s="69">
        <f t="shared" si="76"/>
        <v>157</v>
      </c>
      <c r="V227" s="68">
        <v>0</v>
      </c>
      <c r="W227" s="68">
        <v>12</v>
      </c>
      <c r="X227" s="68">
        <f t="shared" si="65"/>
        <v>643.19354838709683</v>
      </c>
      <c r="Y227" s="68">
        <f t="shared" si="66"/>
        <v>8285.8709677419338</v>
      </c>
      <c r="Z227" s="68"/>
      <c r="AA227" s="68">
        <f t="shared" si="67"/>
        <v>8285.8709677419338</v>
      </c>
      <c r="AB227" s="69">
        <f t="shared" si="68"/>
        <v>519.63709677419354</v>
      </c>
      <c r="AC227" s="69">
        <f t="shared" si="77"/>
        <v>425</v>
      </c>
      <c r="AD227" s="70">
        <f t="shared" si="70"/>
        <v>36</v>
      </c>
      <c r="AE227" s="71">
        <f t="shared" si="71"/>
        <v>980.63709677419354</v>
      </c>
      <c r="AF227" s="71">
        <f t="shared" si="72"/>
        <v>9909.7016129032236</v>
      </c>
    </row>
    <row r="228" spans="1:32" x14ac:dyDescent="0.2">
      <c r="A228" s="64" t="s">
        <v>1438</v>
      </c>
      <c r="B228" s="65">
        <v>223</v>
      </c>
      <c r="C228" s="65" t="s">
        <v>1413</v>
      </c>
      <c r="D228" s="64" t="s">
        <v>1438</v>
      </c>
      <c r="E228" s="66" t="s">
        <v>50</v>
      </c>
      <c r="F228" s="65" t="s">
        <v>237</v>
      </c>
      <c r="G228" s="67">
        <v>43063</v>
      </c>
      <c r="H228" s="67"/>
      <c r="I228" s="65">
        <v>35</v>
      </c>
      <c r="J228" s="68">
        <f t="shared" si="78"/>
        <v>5645.1612903225805</v>
      </c>
      <c r="K228" s="68">
        <f t="shared" si="61"/>
        <v>0</v>
      </c>
      <c r="L228" s="68">
        <f t="shared" si="62"/>
        <v>282.25806451612902</v>
      </c>
      <c r="M228" s="68"/>
      <c r="N228" s="68">
        <f t="shared" si="79"/>
        <v>903.22580645161281</v>
      </c>
      <c r="O228" s="68"/>
      <c r="P228" s="68">
        <f t="shared" si="80"/>
        <v>5925.1612903225805</v>
      </c>
      <c r="Q228" s="68">
        <v>0</v>
      </c>
      <c r="R228" s="68">
        <v>0</v>
      </c>
      <c r="S228" s="68">
        <f t="shared" si="63"/>
        <v>12755.806451612902</v>
      </c>
      <c r="T228" s="69">
        <f t="shared" si="64"/>
        <v>677.41935483870964</v>
      </c>
      <c r="U228" s="69">
        <f t="shared" si="76"/>
        <v>224</v>
      </c>
      <c r="V228" s="68">
        <v>0</v>
      </c>
      <c r="W228" s="68">
        <v>12</v>
      </c>
      <c r="X228" s="68">
        <f t="shared" si="65"/>
        <v>913.41935483870964</v>
      </c>
      <c r="Y228" s="68">
        <f t="shared" si="66"/>
        <v>11842.387096774191</v>
      </c>
      <c r="Z228" s="68"/>
      <c r="AA228" s="68">
        <f t="shared" si="67"/>
        <v>11842.387096774191</v>
      </c>
      <c r="AB228" s="69">
        <f t="shared" si="68"/>
        <v>742.33870967741939</v>
      </c>
      <c r="AC228" s="69">
        <f t="shared" si="77"/>
        <v>606</v>
      </c>
      <c r="AD228" s="70">
        <f t="shared" si="70"/>
        <v>36</v>
      </c>
      <c r="AE228" s="71">
        <f t="shared" si="71"/>
        <v>1384.3387096774195</v>
      </c>
      <c r="AF228" s="71">
        <f t="shared" si="72"/>
        <v>14140.145161290322</v>
      </c>
    </row>
    <row r="229" spans="1:32" x14ac:dyDescent="0.2">
      <c r="A229" s="64" t="s">
        <v>1449</v>
      </c>
      <c r="B229" s="65">
        <v>224</v>
      </c>
      <c r="C229" s="65" t="s">
        <v>949</v>
      </c>
      <c r="D229" s="64" t="s">
        <v>1449</v>
      </c>
      <c r="E229" s="66" t="s">
        <v>50</v>
      </c>
      <c r="F229" s="65" t="s">
        <v>237</v>
      </c>
      <c r="G229" s="67">
        <v>43055</v>
      </c>
      <c r="H229" s="67"/>
      <c r="I229" s="65">
        <v>27</v>
      </c>
      <c r="J229" s="68">
        <f t="shared" si="78"/>
        <v>4354.8387096774195</v>
      </c>
      <c r="K229" s="68">
        <f t="shared" si="61"/>
        <v>0</v>
      </c>
      <c r="L229" s="68">
        <f t="shared" si="62"/>
        <v>217.74193548387098</v>
      </c>
      <c r="M229" s="68"/>
      <c r="N229" s="68">
        <f t="shared" si="79"/>
        <v>696.77419354838707</v>
      </c>
      <c r="O229" s="68"/>
      <c r="P229" s="68">
        <f t="shared" si="80"/>
        <v>4570.8387096774195</v>
      </c>
      <c r="Q229" s="68">
        <v>0</v>
      </c>
      <c r="R229" s="68">
        <v>0</v>
      </c>
      <c r="S229" s="68">
        <f t="shared" si="63"/>
        <v>9840.1935483870984</v>
      </c>
      <c r="T229" s="69">
        <f t="shared" si="64"/>
        <v>522.58064516129036</v>
      </c>
      <c r="U229" s="69">
        <f t="shared" si="76"/>
        <v>173</v>
      </c>
      <c r="V229" s="68">
        <v>0</v>
      </c>
      <c r="W229" s="68">
        <v>12</v>
      </c>
      <c r="X229" s="68">
        <f t="shared" si="65"/>
        <v>707.58064516129036</v>
      </c>
      <c r="Y229" s="68">
        <f t="shared" si="66"/>
        <v>9132.6129032258086</v>
      </c>
      <c r="Z229" s="68"/>
      <c r="AA229" s="68">
        <f t="shared" si="67"/>
        <v>9132.6129032258086</v>
      </c>
      <c r="AB229" s="69">
        <f t="shared" si="68"/>
        <v>572.66129032258073</v>
      </c>
      <c r="AC229" s="69">
        <f t="shared" si="77"/>
        <v>468</v>
      </c>
      <c r="AD229" s="70">
        <f t="shared" si="70"/>
        <v>36</v>
      </c>
      <c r="AE229" s="71">
        <f t="shared" si="71"/>
        <v>1076.6612903225807</v>
      </c>
      <c r="AF229" s="71">
        <f t="shared" si="72"/>
        <v>10916.85483870968</v>
      </c>
    </row>
    <row r="230" spans="1:32" x14ac:dyDescent="0.2">
      <c r="A230" s="64" t="s">
        <v>1434</v>
      </c>
      <c r="B230" s="65">
        <v>225</v>
      </c>
      <c r="C230" s="65" t="s">
        <v>1407</v>
      </c>
      <c r="D230" s="64" t="s">
        <v>1434</v>
      </c>
      <c r="E230" s="66" t="s">
        <v>50</v>
      </c>
      <c r="F230" s="65" t="s">
        <v>238</v>
      </c>
      <c r="G230" s="67">
        <v>43042</v>
      </c>
      <c r="H230" s="67"/>
      <c r="I230" s="65">
        <v>12</v>
      </c>
      <c r="J230" s="68">
        <f t="shared" si="78"/>
        <v>1935.483870967742</v>
      </c>
      <c r="K230" s="68">
        <f t="shared" si="61"/>
        <v>0</v>
      </c>
      <c r="L230" s="68">
        <f t="shared" si="62"/>
        <v>96.774193548387103</v>
      </c>
      <c r="M230" s="68"/>
      <c r="N230" s="68">
        <f t="shared" si="79"/>
        <v>309.67741935483866</v>
      </c>
      <c r="O230" s="68"/>
      <c r="P230" s="68">
        <f t="shared" si="80"/>
        <v>2031.483870967742</v>
      </c>
      <c r="Q230" s="68">
        <v>0</v>
      </c>
      <c r="R230" s="68">
        <v>0</v>
      </c>
      <c r="S230" s="68">
        <f t="shared" si="63"/>
        <v>4373.4193548387102</v>
      </c>
      <c r="T230" s="69">
        <f t="shared" si="64"/>
        <v>232.25806451612902</v>
      </c>
      <c r="U230" s="69">
        <f t="shared" si="76"/>
        <v>77</v>
      </c>
      <c r="V230" s="68">
        <v>0</v>
      </c>
      <c r="W230" s="68">
        <v>12</v>
      </c>
      <c r="X230" s="68">
        <f t="shared" si="65"/>
        <v>321.25806451612902</v>
      </c>
      <c r="Y230" s="68">
        <f t="shared" si="66"/>
        <v>4052.1612903225814</v>
      </c>
      <c r="Z230" s="68"/>
      <c r="AA230" s="68">
        <f t="shared" si="67"/>
        <v>4052.1612903225814</v>
      </c>
      <c r="AB230" s="69">
        <f t="shared" si="68"/>
        <v>254.51612903225808</v>
      </c>
      <c r="AC230" s="69">
        <f t="shared" si="77"/>
        <v>208</v>
      </c>
      <c r="AD230" s="70">
        <f t="shared" si="70"/>
        <v>36</v>
      </c>
      <c r="AE230" s="71">
        <f t="shared" si="71"/>
        <v>498.51612903225805</v>
      </c>
      <c r="AF230" s="71">
        <f t="shared" si="72"/>
        <v>4871.9354838709678</v>
      </c>
    </row>
    <row r="231" spans="1:32" x14ac:dyDescent="0.2">
      <c r="A231" s="64" t="s">
        <v>1435</v>
      </c>
      <c r="B231" s="65">
        <v>226</v>
      </c>
      <c r="C231" s="65" t="s">
        <v>1408</v>
      </c>
      <c r="D231" s="64" t="s">
        <v>1435</v>
      </c>
      <c r="E231" s="66" t="s">
        <v>50</v>
      </c>
      <c r="F231" s="65" t="s">
        <v>238</v>
      </c>
      <c r="G231" s="67">
        <v>43049</v>
      </c>
      <c r="H231" s="67"/>
      <c r="I231" s="65">
        <v>32</v>
      </c>
      <c r="J231" s="68">
        <f t="shared" si="78"/>
        <v>5161.2903225806449</v>
      </c>
      <c r="K231" s="68">
        <f t="shared" si="61"/>
        <v>0</v>
      </c>
      <c r="L231" s="68">
        <f t="shared" si="62"/>
        <v>258.06451612903226</v>
      </c>
      <c r="M231" s="68"/>
      <c r="N231" s="68">
        <f t="shared" si="79"/>
        <v>825.80645161290317</v>
      </c>
      <c r="O231" s="68"/>
      <c r="P231" s="68">
        <f t="shared" si="80"/>
        <v>5417.2903225806449</v>
      </c>
      <c r="Q231" s="68">
        <v>0</v>
      </c>
      <c r="R231" s="68">
        <v>0</v>
      </c>
      <c r="S231" s="68">
        <f t="shared" si="63"/>
        <v>11662.451612903225</v>
      </c>
      <c r="T231" s="69">
        <f t="shared" si="64"/>
        <v>619.35483870967732</v>
      </c>
      <c r="U231" s="69">
        <f t="shared" si="76"/>
        <v>205</v>
      </c>
      <c r="V231" s="68">
        <v>0</v>
      </c>
      <c r="W231" s="68">
        <v>12</v>
      </c>
      <c r="X231" s="68">
        <f t="shared" si="65"/>
        <v>836.35483870967732</v>
      </c>
      <c r="Y231" s="68">
        <f t="shared" si="66"/>
        <v>10826.096774193547</v>
      </c>
      <c r="Z231" s="68"/>
      <c r="AA231" s="68">
        <f t="shared" si="67"/>
        <v>10826.096774193547</v>
      </c>
      <c r="AB231" s="69">
        <f t="shared" si="68"/>
        <v>678.70967741935488</v>
      </c>
      <c r="AC231" s="69">
        <f t="shared" si="77"/>
        <v>554</v>
      </c>
      <c r="AD231" s="70">
        <f t="shared" si="70"/>
        <v>36</v>
      </c>
      <c r="AE231" s="71">
        <f t="shared" si="71"/>
        <v>1268.7096774193549</v>
      </c>
      <c r="AF231" s="71">
        <f t="shared" si="72"/>
        <v>12931.16129032258</v>
      </c>
    </row>
    <row r="232" spans="1:32" x14ac:dyDescent="0.2">
      <c r="A232" s="64" t="s">
        <v>1448</v>
      </c>
      <c r="B232" s="65">
        <v>227</v>
      </c>
      <c r="C232" s="65" t="s">
        <v>1409</v>
      </c>
      <c r="D232" s="64" t="s">
        <v>1448</v>
      </c>
      <c r="E232" s="66" t="s">
        <v>50</v>
      </c>
      <c r="F232" s="65" t="s">
        <v>239</v>
      </c>
      <c r="G232" s="67">
        <v>43068</v>
      </c>
      <c r="H232" s="67"/>
      <c r="I232" s="65">
        <v>36</v>
      </c>
      <c r="J232" s="68">
        <f t="shared" si="78"/>
        <v>5806.4516129032254</v>
      </c>
      <c r="K232" s="68">
        <f t="shared" si="61"/>
        <v>0</v>
      </c>
      <c r="L232" s="68">
        <f t="shared" si="62"/>
        <v>290.32258064516128</v>
      </c>
      <c r="M232" s="68"/>
      <c r="N232" s="68">
        <f t="shared" si="79"/>
        <v>929.0322580645161</v>
      </c>
      <c r="O232" s="68"/>
      <c r="P232" s="68">
        <f t="shared" si="80"/>
        <v>6094.4516129032254</v>
      </c>
      <c r="Q232" s="68">
        <v>0</v>
      </c>
      <c r="R232" s="68">
        <v>0</v>
      </c>
      <c r="S232" s="68">
        <f t="shared" si="63"/>
        <v>13120.258064516129</v>
      </c>
      <c r="T232" s="69">
        <f t="shared" si="64"/>
        <v>696.77419354838707</v>
      </c>
      <c r="U232" s="69">
        <f t="shared" si="76"/>
        <v>230</v>
      </c>
      <c r="V232" s="68">
        <v>0</v>
      </c>
      <c r="W232" s="68">
        <v>12</v>
      </c>
      <c r="X232" s="68">
        <f t="shared" si="65"/>
        <v>938.77419354838707</v>
      </c>
      <c r="Y232" s="68">
        <f t="shared" si="66"/>
        <v>12181.483870967742</v>
      </c>
      <c r="Z232" s="68"/>
      <c r="AA232" s="68">
        <f t="shared" si="67"/>
        <v>12181.483870967742</v>
      </c>
      <c r="AB232" s="69">
        <f t="shared" si="68"/>
        <v>763.54838709677415</v>
      </c>
      <c r="AC232" s="69">
        <f t="shared" si="77"/>
        <v>624</v>
      </c>
      <c r="AD232" s="70">
        <f t="shared" si="70"/>
        <v>36</v>
      </c>
      <c r="AE232" s="71">
        <f t="shared" si="71"/>
        <v>1423.5483870967741</v>
      </c>
      <c r="AF232" s="71">
        <f t="shared" si="72"/>
        <v>14543.806451612903</v>
      </c>
    </row>
    <row r="233" spans="1:32" x14ac:dyDescent="0.2">
      <c r="A233" s="64" t="s">
        <v>1420</v>
      </c>
      <c r="B233" s="65">
        <v>228</v>
      </c>
      <c r="C233" s="65" t="s">
        <v>1393</v>
      </c>
      <c r="D233" s="64" t="s">
        <v>1420</v>
      </c>
      <c r="E233" s="66" t="s">
        <v>50</v>
      </c>
      <c r="F233" s="65" t="s">
        <v>581</v>
      </c>
      <c r="G233" s="67">
        <v>43039</v>
      </c>
      <c r="H233" s="67"/>
      <c r="I233" s="65">
        <v>37</v>
      </c>
      <c r="J233" s="68">
        <f t="shared" si="78"/>
        <v>5967.7419354838703</v>
      </c>
      <c r="K233" s="68">
        <f t="shared" si="61"/>
        <v>0</v>
      </c>
      <c r="L233" s="68">
        <f t="shared" si="62"/>
        <v>298.38709677419354</v>
      </c>
      <c r="M233" s="68"/>
      <c r="N233" s="68">
        <f t="shared" si="79"/>
        <v>954.83870967741927</v>
      </c>
      <c r="O233" s="68"/>
      <c r="P233" s="68">
        <f>((4230)/I$3)*I233</f>
        <v>5048.7096774193542</v>
      </c>
      <c r="Q233" s="68">
        <v>0</v>
      </c>
      <c r="R233" s="68">
        <v>0</v>
      </c>
      <c r="S233" s="68">
        <f t="shared" si="63"/>
        <v>12269.677419354837</v>
      </c>
      <c r="T233" s="69">
        <f t="shared" si="64"/>
        <v>716.1290322580644</v>
      </c>
      <c r="U233" s="69">
        <f t="shared" si="76"/>
        <v>215</v>
      </c>
      <c r="V233" s="68">
        <v>0</v>
      </c>
      <c r="W233" s="68">
        <v>12</v>
      </c>
      <c r="X233" s="68">
        <f t="shared" si="65"/>
        <v>943.1290322580644</v>
      </c>
      <c r="Y233" s="68">
        <f t="shared" si="66"/>
        <v>11326.548387096773</v>
      </c>
      <c r="Z233" s="68"/>
      <c r="AA233" s="68">
        <f t="shared" si="67"/>
        <v>11326.548387096773</v>
      </c>
      <c r="AB233" s="69">
        <f t="shared" si="68"/>
        <v>784.75806451612902</v>
      </c>
      <c r="AC233" s="69">
        <f t="shared" si="77"/>
        <v>583</v>
      </c>
      <c r="AD233" s="70">
        <f t="shared" si="70"/>
        <v>36</v>
      </c>
      <c r="AE233" s="71">
        <f t="shared" si="71"/>
        <v>1403.758064516129</v>
      </c>
      <c r="AF233" s="71">
        <f t="shared" si="72"/>
        <v>13673.435483870966</v>
      </c>
    </row>
    <row r="234" spans="1:32" x14ac:dyDescent="0.2">
      <c r="A234" s="64" t="s">
        <v>1439</v>
      </c>
      <c r="B234" s="65">
        <v>229</v>
      </c>
      <c r="C234" s="65" t="s">
        <v>1414</v>
      </c>
      <c r="D234" s="64" t="s">
        <v>1439</v>
      </c>
      <c r="E234" s="66" t="s">
        <v>50</v>
      </c>
      <c r="F234" s="65" t="s">
        <v>241</v>
      </c>
      <c r="G234" s="67">
        <v>43043</v>
      </c>
      <c r="H234" s="67"/>
      <c r="I234" s="65">
        <v>36</v>
      </c>
      <c r="J234" s="68">
        <f t="shared" si="78"/>
        <v>5806.4516129032254</v>
      </c>
      <c r="K234" s="68">
        <f t="shared" si="61"/>
        <v>0</v>
      </c>
      <c r="L234" s="68">
        <f t="shared" si="62"/>
        <v>290.32258064516128</v>
      </c>
      <c r="M234" s="68"/>
      <c r="N234" s="68">
        <f t="shared" si="79"/>
        <v>929.0322580645161</v>
      </c>
      <c r="O234" s="68"/>
      <c r="P234" s="68">
        <f>((4230)/I$3)*I234</f>
        <v>4912.2580645161288</v>
      </c>
      <c r="Q234" s="68">
        <v>0</v>
      </c>
      <c r="R234" s="68">
        <v>0</v>
      </c>
      <c r="S234" s="68">
        <f t="shared" si="63"/>
        <v>11938.06451612903</v>
      </c>
      <c r="T234" s="69">
        <f t="shared" si="64"/>
        <v>696.77419354838707</v>
      </c>
      <c r="U234" s="69">
        <f t="shared" si="76"/>
        <v>209</v>
      </c>
      <c r="V234" s="68">
        <v>0</v>
      </c>
      <c r="W234" s="68">
        <v>12</v>
      </c>
      <c r="X234" s="68">
        <f t="shared" si="65"/>
        <v>917.77419354838707</v>
      </c>
      <c r="Y234" s="68">
        <f t="shared" si="66"/>
        <v>11020.290322580644</v>
      </c>
      <c r="Z234" s="68"/>
      <c r="AA234" s="68">
        <f t="shared" si="67"/>
        <v>11020.290322580644</v>
      </c>
      <c r="AB234" s="69">
        <f t="shared" si="68"/>
        <v>763.54838709677415</v>
      </c>
      <c r="AC234" s="69">
        <f t="shared" si="77"/>
        <v>568</v>
      </c>
      <c r="AD234" s="70">
        <f t="shared" si="70"/>
        <v>36</v>
      </c>
      <c r="AE234" s="71">
        <f t="shared" si="71"/>
        <v>1367.5483870967741</v>
      </c>
      <c r="AF234" s="71">
        <f t="shared" si="72"/>
        <v>13305.612903225805</v>
      </c>
    </row>
    <row r="235" spans="1:32" x14ac:dyDescent="0.2">
      <c r="A235" s="64" t="s">
        <v>1440</v>
      </c>
      <c r="B235" s="65">
        <v>230</v>
      </c>
      <c r="C235" s="65" t="s">
        <v>1415</v>
      </c>
      <c r="D235" s="64" t="s">
        <v>1440</v>
      </c>
      <c r="E235" s="66" t="s">
        <v>50</v>
      </c>
      <c r="F235" s="65" t="s">
        <v>241</v>
      </c>
      <c r="G235" s="67">
        <v>43055</v>
      </c>
      <c r="H235" s="67"/>
      <c r="I235" s="65">
        <v>36</v>
      </c>
      <c r="J235" s="68">
        <f t="shared" si="78"/>
        <v>5806.4516129032254</v>
      </c>
      <c r="K235" s="68">
        <f t="shared" si="61"/>
        <v>0</v>
      </c>
      <c r="L235" s="68">
        <f t="shared" si="62"/>
        <v>290.32258064516128</v>
      </c>
      <c r="M235" s="68"/>
      <c r="N235" s="68">
        <f t="shared" si="79"/>
        <v>929.0322580645161</v>
      </c>
      <c r="O235" s="68"/>
      <c r="P235" s="68">
        <f>((4230)/I$3)*I235</f>
        <v>4912.2580645161288</v>
      </c>
      <c r="Q235" s="68">
        <v>0</v>
      </c>
      <c r="R235" s="68">
        <v>0</v>
      </c>
      <c r="S235" s="68">
        <f t="shared" si="63"/>
        <v>11938.06451612903</v>
      </c>
      <c r="T235" s="69">
        <f t="shared" si="64"/>
        <v>696.77419354838707</v>
      </c>
      <c r="U235" s="69">
        <f t="shared" si="76"/>
        <v>209</v>
      </c>
      <c r="V235" s="68">
        <v>0</v>
      </c>
      <c r="W235" s="68">
        <v>12</v>
      </c>
      <c r="X235" s="68">
        <f t="shared" si="65"/>
        <v>917.77419354838707</v>
      </c>
      <c r="Y235" s="68">
        <f t="shared" si="66"/>
        <v>11020.290322580644</v>
      </c>
      <c r="Z235" s="68"/>
      <c r="AA235" s="68">
        <f t="shared" si="67"/>
        <v>11020.290322580644</v>
      </c>
      <c r="AB235" s="69">
        <f t="shared" si="68"/>
        <v>763.54838709677415</v>
      </c>
      <c r="AC235" s="69">
        <f t="shared" si="77"/>
        <v>568</v>
      </c>
      <c r="AD235" s="70">
        <f t="shared" si="70"/>
        <v>36</v>
      </c>
      <c r="AE235" s="71">
        <f t="shared" si="71"/>
        <v>1367.5483870967741</v>
      </c>
      <c r="AF235" s="71">
        <f t="shared" si="72"/>
        <v>13305.612903225805</v>
      </c>
    </row>
    <row r="236" spans="1:32" x14ac:dyDescent="0.2">
      <c r="A236" s="64" t="s">
        <v>1441</v>
      </c>
      <c r="B236" s="65">
        <v>231</v>
      </c>
      <c r="C236" s="65" t="s">
        <v>1416</v>
      </c>
      <c r="D236" s="64" t="s">
        <v>1441</v>
      </c>
      <c r="E236" s="66" t="s">
        <v>50</v>
      </c>
      <c r="F236" s="65" t="s">
        <v>241</v>
      </c>
      <c r="G236" s="67">
        <v>43048</v>
      </c>
      <c r="H236" s="67"/>
      <c r="I236" s="65">
        <v>30</v>
      </c>
      <c r="J236" s="68">
        <f t="shared" si="78"/>
        <v>4838.7096774193542</v>
      </c>
      <c r="K236" s="68">
        <f t="shared" si="61"/>
        <v>0</v>
      </c>
      <c r="L236" s="68">
        <f t="shared" si="62"/>
        <v>241.93548387096772</v>
      </c>
      <c r="M236" s="68"/>
      <c r="N236" s="68">
        <f t="shared" si="79"/>
        <v>774.19354838709671</v>
      </c>
      <c r="O236" s="68"/>
      <c r="P236" s="68">
        <f>((4230)/I$3)*I236</f>
        <v>4093.5483870967737</v>
      </c>
      <c r="Q236" s="68">
        <v>0</v>
      </c>
      <c r="R236" s="68">
        <v>0</v>
      </c>
      <c r="S236" s="68">
        <f t="shared" si="63"/>
        <v>9948.3870967741932</v>
      </c>
      <c r="T236" s="69">
        <f t="shared" si="64"/>
        <v>580.64516129032245</v>
      </c>
      <c r="U236" s="69">
        <f t="shared" si="76"/>
        <v>175</v>
      </c>
      <c r="V236" s="68">
        <v>0</v>
      </c>
      <c r="W236" s="68">
        <v>12</v>
      </c>
      <c r="X236" s="68">
        <f t="shared" si="65"/>
        <v>767.64516129032245</v>
      </c>
      <c r="Y236" s="68">
        <f t="shared" si="66"/>
        <v>9180.7419354838712</v>
      </c>
      <c r="Z236" s="68"/>
      <c r="AA236" s="68">
        <f t="shared" si="67"/>
        <v>9180.7419354838712</v>
      </c>
      <c r="AB236" s="69">
        <f t="shared" si="68"/>
        <v>636.29032258064512</v>
      </c>
      <c r="AC236" s="69">
        <f t="shared" si="77"/>
        <v>473</v>
      </c>
      <c r="AD236" s="70">
        <f t="shared" si="70"/>
        <v>36</v>
      </c>
      <c r="AE236" s="71">
        <f t="shared" si="71"/>
        <v>1145.2903225806451</v>
      </c>
      <c r="AF236" s="71">
        <f t="shared" si="72"/>
        <v>11093.677419354839</v>
      </c>
    </row>
    <row r="237" spans="1:32" x14ac:dyDescent="0.2">
      <c r="A237" s="64" t="s">
        <v>1442</v>
      </c>
      <c r="B237" s="65">
        <v>232</v>
      </c>
      <c r="C237" s="65" t="s">
        <v>1443</v>
      </c>
      <c r="D237" s="64" t="s">
        <v>1442</v>
      </c>
      <c r="E237" s="66" t="s">
        <v>50</v>
      </c>
      <c r="F237" s="65" t="s">
        <v>241</v>
      </c>
      <c r="G237" s="67">
        <v>43065</v>
      </c>
      <c r="H237" s="67"/>
      <c r="I237" s="65">
        <v>33</v>
      </c>
      <c r="J237" s="68">
        <f t="shared" si="78"/>
        <v>5322.5806451612898</v>
      </c>
      <c r="K237" s="68">
        <f t="shared" si="61"/>
        <v>0</v>
      </c>
      <c r="L237" s="68">
        <f t="shared" si="62"/>
        <v>266.12903225806451</v>
      </c>
      <c r="M237" s="68"/>
      <c r="N237" s="68">
        <f t="shared" si="79"/>
        <v>851.61290322580635</v>
      </c>
      <c r="O237" s="68"/>
      <c r="P237" s="68">
        <f>((4230)/I$3)*I237</f>
        <v>4502.9032258064508</v>
      </c>
      <c r="Q237" s="68">
        <v>0</v>
      </c>
      <c r="R237" s="68">
        <v>0</v>
      </c>
      <c r="S237" s="68">
        <f t="shared" si="63"/>
        <v>10943.225806451612</v>
      </c>
      <c r="T237" s="69">
        <f t="shared" si="64"/>
        <v>638.70967741935476</v>
      </c>
      <c r="U237" s="69">
        <f t="shared" si="76"/>
        <v>192</v>
      </c>
      <c r="V237" s="68">
        <v>0</v>
      </c>
      <c r="W237" s="68">
        <v>12</v>
      </c>
      <c r="X237" s="68">
        <f t="shared" si="65"/>
        <v>842.70967741935476</v>
      </c>
      <c r="Y237" s="68">
        <f t="shared" si="66"/>
        <v>10100.516129032258</v>
      </c>
      <c r="Z237" s="68"/>
      <c r="AA237" s="68">
        <f t="shared" si="67"/>
        <v>10100.516129032258</v>
      </c>
      <c r="AB237" s="69">
        <f t="shared" si="68"/>
        <v>699.91935483870964</v>
      </c>
      <c r="AC237" s="69">
        <f t="shared" si="77"/>
        <v>520</v>
      </c>
      <c r="AD237" s="70">
        <f t="shared" si="70"/>
        <v>36</v>
      </c>
      <c r="AE237" s="71">
        <f t="shared" si="71"/>
        <v>1255.9193548387098</v>
      </c>
      <c r="AF237" s="71">
        <f t="shared" si="72"/>
        <v>12199.145161290322</v>
      </c>
    </row>
    <row r="238" spans="1:32" x14ac:dyDescent="0.2">
      <c r="A238" s="64" t="s">
        <v>1421</v>
      </c>
      <c r="B238" s="65">
        <v>233</v>
      </c>
      <c r="C238" s="65" t="s">
        <v>1394</v>
      </c>
      <c r="D238" s="64" t="s">
        <v>1421</v>
      </c>
      <c r="E238" s="66" t="s">
        <v>50</v>
      </c>
      <c r="F238" s="65" t="s">
        <v>234</v>
      </c>
      <c r="G238" s="67">
        <v>43040</v>
      </c>
      <c r="H238" s="67"/>
      <c r="I238" s="65">
        <v>31</v>
      </c>
      <c r="J238" s="68">
        <f t="shared" si="78"/>
        <v>5000</v>
      </c>
      <c r="K238" s="68">
        <f t="shared" si="61"/>
        <v>0</v>
      </c>
      <c r="L238" s="68">
        <f t="shared" si="62"/>
        <v>250</v>
      </c>
      <c r="M238" s="68"/>
      <c r="N238" s="68">
        <f t="shared" si="79"/>
        <v>800</v>
      </c>
      <c r="O238" s="68"/>
      <c r="P238" s="68">
        <f t="shared" ref="P238:P253" si="81">((5248)/I$3)*I238</f>
        <v>5248</v>
      </c>
      <c r="Q238" s="68">
        <v>0</v>
      </c>
      <c r="R238" s="68">
        <v>0</v>
      </c>
      <c r="S238" s="68">
        <f t="shared" si="63"/>
        <v>11298</v>
      </c>
      <c r="T238" s="69">
        <f t="shared" si="64"/>
        <v>600</v>
      </c>
      <c r="U238" s="69">
        <f t="shared" si="76"/>
        <v>198</v>
      </c>
      <c r="V238" s="68">
        <v>0</v>
      </c>
      <c r="W238" s="68">
        <v>12</v>
      </c>
      <c r="X238" s="68">
        <f t="shared" si="65"/>
        <v>810</v>
      </c>
      <c r="Y238" s="68">
        <f t="shared" si="66"/>
        <v>10488</v>
      </c>
      <c r="Z238" s="68"/>
      <c r="AA238" s="68">
        <f t="shared" si="67"/>
        <v>10488</v>
      </c>
      <c r="AB238" s="69">
        <f t="shared" si="68"/>
        <v>657.5</v>
      </c>
      <c r="AC238" s="69">
        <f t="shared" si="77"/>
        <v>537</v>
      </c>
      <c r="AD238" s="70">
        <f t="shared" si="70"/>
        <v>36</v>
      </c>
      <c r="AE238" s="71">
        <f t="shared" si="71"/>
        <v>1230.5</v>
      </c>
      <c r="AF238" s="71">
        <f t="shared" si="72"/>
        <v>12528.5</v>
      </c>
    </row>
    <row r="239" spans="1:32" x14ac:dyDescent="0.2">
      <c r="A239" s="64" t="s">
        <v>1422</v>
      </c>
      <c r="B239" s="65">
        <v>234</v>
      </c>
      <c r="C239" s="65" t="s">
        <v>1066</v>
      </c>
      <c r="D239" s="64" t="s">
        <v>1422</v>
      </c>
      <c r="E239" s="66" t="s">
        <v>50</v>
      </c>
      <c r="F239" s="65" t="s">
        <v>234</v>
      </c>
      <c r="G239" s="67">
        <v>43040</v>
      </c>
      <c r="H239" s="67"/>
      <c r="I239" s="65">
        <v>32</v>
      </c>
      <c r="J239" s="68">
        <f t="shared" si="78"/>
        <v>5161.2903225806449</v>
      </c>
      <c r="K239" s="68">
        <f t="shared" si="61"/>
        <v>0</v>
      </c>
      <c r="L239" s="68">
        <f t="shared" si="62"/>
        <v>258.06451612903226</v>
      </c>
      <c r="M239" s="68"/>
      <c r="N239" s="68">
        <f t="shared" si="79"/>
        <v>825.80645161290317</v>
      </c>
      <c r="O239" s="68"/>
      <c r="P239" s="68">
        <f t="shared" si="81"/>
        <v>5417.2903225806449</v>
      </c>
      <c r="Q239" s="68">
        <v>0</v>
      </c>
      <c r="R239" s="68">
        <v>0</v>
      </c>
      <c r="S239" s="68">
        <f t="shared" si="63"/>
        <v>11662.451612903225</v>
      </c>
      <c r="T239" s="69">
        <f t="shared" si="64"/>
        <v>619.35483870967732</v>
      </c>
      <c r="U239" s="69">
        <f t="shared" si="76"/>
        <v>205</v>
      </c>
      <c r="V239" s="68">
        <v>0</v>
      </c>
      <c r="W239" s="68">
        <v>12</v>
      </c>
      <c r="X239" s="68">
        <f t="shared" si="65"/>
        <v>836.35483870967732</v>
      </c>
      <c r="Y239" s="68">
        <f t="shared" si="66"/>
        <v>10826.096774193547</v>
      </c>
      <c r="Z239" s="68"/>
      <c r="AA239" s="68">
        <f t="shared" si="67"/>
        <v>10826.096774193547</v>
      </c>
      <c r="AB239" s="69">
        <f t="shared" si="68"/>
        <v>678.70967741935488</v>
      </c>
      <c r="AC239" s="69">
        <f t="shared" si="77"/>
        <v>554</v>
      </c>
      <c r="AD239" s="70">
        <f t="shared" si="70"/>
        <v>36</v>
      </c>
      <c r="AE239" s="71">
        <f t="shared" si="71"/>
        <v>1268.7096774193549</v>
      </c>
      <c r="AF239" s="71">
        <f t="shared" si="72"/>
        <v>12931.16129032258</v>
      </c>
    </row>
    <row r="240" spans="1:32" x14ac:dyDescent="0.2">
      <c r="A240" s="64" t="s">
        <v>1423</v>
      </c>
      <c r="B240" s="65">
        <v>235</v>
      </c>
      <c r="C240" s="65" t="s">
        <v>1395</v>
      </c>
      <c r="D240" s="64" t="s">
        <v>1423</v>
      </c>
      <c r="E240" s="66" t="s">
        <v>50</v>
      </c>
      <c r="F240" s="65" t="s">
        <v>234</v>
      </c>
      <c r="G240" s="67">
        <v>43047</v>
      </c>
      <c r="H240" s="67"/>
      <c r="I240" s="65">
        <v>27</v>
      </c>
      <c r="J240" s="68">
        <f t="shared" si="78"/>
        <v>4354.8387096774195</v>
      </c>
      <c r="K240" s="68">
        <f t="shared" si="61"/>
        <v>0</v>
      </c>
      <c r="L240" s="68">
        <f t="shared" si="62"/>
        <v>217.74193548387098</v>
      </c>
      <c r="M240" s="68"/>
      <c r="N240" s="68">
        <f t="shared" si="79"/>
        <v>696.77419354838707</v>
      </c>
      <c r="O240" s="68"/>
      <c r="P240" s="68">
        <f t="shared" si="81"/>
        <v>4570.8387096774195</v>
      </c>
      <c r="Q240" s="68">
        <v>0</v>
      </c>
      <c r="R240" s="68">
        <v>0</v>
      </c>
      <c r="S240" s="68">
        <f t="shared" si="63"/>
        <v>9840.1935483870984</v>
      </c>
      <c r="T240" s="69">
        <f t="shared" si="64"/>
        <v>522.58064516129036</v>
      </c>
      <c r="U240" s="69">
        <f t="shared" ref="U240:U271" si="82">ROUNDUP((S240*1.75%),0)</f>
        <v>173</v>
      </c>
      <c r="V240" s="68">
        <v>0</v>
      </c>
      <c r="W240" s="68">
        <v>12</v>
      </c>
      <c r="X240" s="68">
        <f t="shared" si="65"/>
        <v>707.58064516129036</v>
      </c>
      <c r="Y240" s="68">
        <f t="shared" si="66"/>
        <v>9132.6129032258086</v>
      </c>
      <c r="Z240" s="68"/>
      <c r="AA240" s="68">
        <f t="shared" si="67"/>
        <v>9132.6129032258086</v>
      </c>
      <c r="AB240" s="69">
        <f t="shared" si="68"/>
        <v>572.66129032258073</v>
      </c>
      <c r="AC240" s="69">
        <f t="shared" ref="AC240:AC271" si="83">CEILING((S240)*4.75%,1)</f>
        <v>468</v>
      </c>
      <c r="AD240" s="70">
        <f t="shared" si="70"/>
        <v>36</v>
      </c>
      <c r="AE240" s="71">
        <f t="shared" si="71"/>
        <v>1076.6612903225807</v>
      </c>
      <c r="AF240" s="71">
        <f t="shared" si="72"/>
        <v>10916.85483870968</v>
      </c>
    </row>
    <row r="241" spans="1:32" x14ac:dyDescent="0.2">
      <c r="A241" s="64" t="s">
        <v>1424</v>
      </c>
      <c r="B241" s="65">
        <v>236</v>
      </c>
      <c r="C241" s="65" t="s">
        <v>1396</v>
      </c>
      <c r="D241" s="64" t="s">
        <v>1424</v>
      </c>
      <c r="E241" s="66" t="s">
        <v>50</v>
      </c>
      <c r="F241" s="65" t="s">
        <v>234</v>
      </c>
      <c r="G241" s="67">
        <v>43047</v>
      </c>
      <c r="H241" s="67"/>
      <c r="I241" s="65">
        <v>34</v>
      </c>
      <c r="J241" s="68">
        <f t="shared" si="78"/>
        <v>5483.8709677419356</v>
      </c>
      <c r="K241" s="68">
        <f t="shared" si="61"/>
        <v>0</v>
      </c>
      <c r="L241" s="68">
        <f t="shared" si="62"/>
        <v>274.19354838709677</v>
      </c>
      <c r="M241" s="68"/>
      <c r="N241" s="68">
        <f t="shared" si="79"/>
        <v>877.41935483870964</v>
      </c>
      <c r="O241" s="68"/>
      <c r="P241" s="68">
        <f t="shared" si="81"/>
        <v>5755.8709677419356</v>
      </c>
      <c r="Q241" s="68">
        <v>0</v>
      </c>
      <c r="R241" s="68">
        <v>0</v>
      </c>
      <c r="S241" s="68">
        <f t="shared" si="63"/>
        <v>12391.354838709678</v>
      </c>
      <c r="T241" s="69">
        <f t="shared" si="64"/>
        <v>658.0645161290322</v>
      </c>
      <c r="U241" s="69">
        <f t="shared" si="82"/>
        <v>217</v>
      </c>
      <c r="V241" s="68">
        <v>0</v>
      </c>
      <c r="W241" s="68">
        <v>12</v>
      </c>
      <c r="X241" s="68">
        <f t="shared" si="65"/>
        <v>887.0645161290322</v>
      </c>
      <c r="Y241" s="68">
        <f t="shared" si="66"/>
        <v>11504.290322580646</v>
      </c>
      <c r="Z241" s="68"/>
      <c r="AA241" s="68">
        <f t="shared" si="67"/>
        <v>11504.290322580646</v>
      </c>
      <c r="AB241" s="69">
        <f t="shared" si="68"/>
        <v>721.12903225806451</v>
      </c>
      <c r="AC241" s="69">
        <f t="shared" si="83"/>
        <v>589</v>
      </c>
      <c r="AD241" s="70">
        <f t="shared" si="70"/>
        <v>36</v>
      </c>
      <c r="AE241" s="71">
        <f t="shared" si="71"/>
        <v>1346.1290322580644</v>
      </c>
      <c r="AF241" s="71">
        <f t="shared" si="72"/>
        <v>13737.483870967742</v>
      </c>
    </row>
    <row r="242" spans="1:32" x14ac:dyDescent="0.2">
      <c r="A242" s="64" t="s">
        <v>1425</v>
      </c>
      <c r="B242" s="65">
        <v>237</v>
      </c>
      <c r="C242" s="65" t="s">
        <v>969</v>
      </c>
      <c r="D242" s="64" t="s">
        <v>1425</v>
      </c>
      <c r="E242" s="66" t="s">
        <v>50</v>
      </c>
      <c r="F242" s="65" t="s">
        <v>234</v>
      </c>
      <c r="G242" s="67">
        <v>43047</v>
      </c>
      <c r="H242" s="67"/>
      <c r="I242" s="65">
        <v>33</v>
      </c>
      <c r="J242" s="68">
        <f t="shared" si="78"/>
        <v>5322.5806451612898</v>
      </c>
      <c r="K242" s="68">
        <f t="shared" si="61"/>
        <v>0</v>
      </c>
      <c r="L242" s="68">
        <f t="shared" si="62"/>
        <v>266.12903225806451</v>
      </c>
      <c r="M242" s="68"/>
      <c r="N242" s="68">
        <f t="shared" si="79"/>
        <v>851.61290322580635</v>
      </c>
      <c r="O242" s="68"/>
      <c r="P242" s="68">
        <f t="shared" si="81"/>
        <v>5586.5806451612898</v>
      </c>
      <c r="Q242" s="68">
        <v>0</v>
      </c>
      <c r="R242" s="68">
        <v>0</v>
      </c>
      <c r="S242" s="68">
        <f t="shared" si="63"/>
        <v>12026.903225806451</v>
      </c>
      <c r="T242" s="69">
        <f t="shared" si="64"/>
        <v>638.70967741935476</v>
      </c>
      <c r="U242" s="69">
        <f t="shared" si="82"/>
        <v>211</v>
      </c>
      <c r="V242" s="68">
        <v>0</v>
      </c>
      <c r="W242" s="68">
        <v>12</v>
      </c>
      <c r="X242" s="68">
        <f t="shared" si="65"/>
        <v>861.70967741935476</v>
      </c>
      <c r="Y242" s="68">
        <f t="shared" si="66"/>
        <v>11165.193548387097</v>
      </c>
      <c r="Z242" s="68"/>
      <c r="AA242" s="68">
        <f t="shared" si="67"/>
        <v>11165.193548387097</v>
      </c>
      <c r="AB242" s="69">
        <f t="shared" si="68"/>
        <v>699.91935483870964</v>
      </c>
      <c r="AC242" s="69">
        <f t="shared" si="83"/>
        <v>572</v>
      </c>
      <c r="AD242" s="70">
        <f t="shared" si="70"/>
        <v>36</v>
      </c>
      <c r="AE242" s="71">
        <f t="shared" si="71"/>
        <v>1307.9193548387098</v>
      </c>
      <c r="AF242" s="71">
        <f t="shared" si="72"/>
        <v>13334.822580645161</v>
      </c>
    </row>
    <row r="243" spans="1:32" x14ac:dyDescent="0.2">
      <c r="A243" s="64" t="s">
        <v>1426</v>
      </c>
      <c r="B243" s="65">
        <v>238</v>
      </c>
      <c r="C243" s="65" t="s">
        <v>1397</v>
      </c>
      <c r="D243" s="64" t="s">
        <v>1426</v>
      </c>
      <c r="E243" s="66" t="s">
        <v>50</v>
      </c>
      <c r="F243" s="65" t="s">
        <v>234</v>
      </c>
      <c r="G243" s="67">
        <v>43047</v>
      </c>
      <c r="H243" s="67"/>
      <c r="I243" s="65">
        <v>34</v>
      </c>
      <c r="J243" s="68">
        <f t="shared" si="78"/>
        <v>5483.8709677419356</v>
      </c>
      <c r="K243" s="68">
        <f t="shared" si="61"/>
        <v>0</v>
      </c>
      <c r="L243" s="68">
        <f t="shared" si="62"/>
        <v>274.19354838709677</v>
      </c>
      <c r="M243" s="68"/>
      <c r="N243" s="68">
        <f t="shared" si="79"/>
        <v>877.41935483870964</v>
      </c>
      <c r="O243" s="68"/>
      <c r="P243" s="68">
        <f t="shared" si="81"/>
        <v>5755.8709677419356</v>
      </c>
      <c r="Q243" s="68">
        <v>0</v>
      </c>
      <c r="R243" s="68">
        <v>0</v>
      </c>
      <c r="S243" s="68">
        <f t="shared" si="63"/>
        <v>12391.354838709678</v>
      </c>
      <c r="T243" s="69">
        <f t="shared" si="64"/>
        <v>658.0645161290322</v>
      </c>
      <c r="U243" s="69">
        <f t="shared" si="82"/>
        <v>217</v>
      </c>
      <c r="V243" s="68">
        <v>0</v>
      </c>
      <c r="W243" s="68">
        <v>12</v>
      </c>
      <c r="X243" s="68">
        <f t="shared" si="65"/>
        <v>887.0645161290322</v>
      </c>
      <c r="Y243" s="68">
        <f t="shared" si="66"/>
        <v>11504.290322580646</v>
      </c>
      <c r="Z243" s="68"/>
      <c r="AA243" s="68">
        <f t="shared" si="67"/>
        <v>11504.290322580646</v>
      </c>
      <c r="AB243" s="69">
        <f t="shared" si="68"/>
        <v>721.12903225806451</v>
      </c>
      <c r="AC243" s="69">
        <f t="shared" si="83"/>
        <v>589</v>
      </c>
      <c r="AD243" s="70">
        <f t="shared" si="70"/>
        <v>36</v>
      </c>
      <c r="AE243" s="71">
        <f t="shared" si="71"/>
        <v>1346.1290322580644</v>
      </c>
      <c r="AF243" s="71">
        <f t="shared" si="72"/>
        <v>13737.483870967742</v>
      </c>
    </row>
    <row r="244" spans="1:32" x14ac:dyDescent="0.2">
      <c r="A244" s="64" t="s">
        <v>1444</v>
      </c>
      <c r="B244" s="65">
        <v>239</v>
      </c>
      <c r="C244" s="65" t="s">
        <v>949</v>
      </c>
      <c r="D244" s="64" t="s">
        <v>1444</v>
      </c>
      <c r="E244" s="66" t="s">
        <v>50</v>
      </c>
      <c r="F244" s="65" t="s">
        <v>234</v>
      </c>
      <c r="G244" s="67">
        <v>43047</v>
      </c>
      <c r="H244" s="67"/>
      <c r="I244" s="65">
        <v>34</v>
      </c>
      <c r="J244" s="68">
        <f t="shared" si="78"/>
        <v>5483.8709677419356</v>
      </c>
      <c r="K244" s="68">
        <f t="shared" si="61"/>
        <v>0</v>
      </c>
      <c r="L244" s="68">
        <f t="shared" si="62"/>
        <v>274.19354838709677</v>
      </c>
      <c r="M244" s="68"/>
      <c r="N244" s="68">
        <f t="shared" si="79"/>
        <v>877.41935483870964</v>
      </c>
      <c r="O244" s="68"/>
      <c r="P244" s="68">
        <f t="shared" si="81"/>
        <v>5755.8709677419356</v>
      </c>
      <c r="Q244" s="68">
        <v>0</v>
      </c>
      <c r="R244" s="68">
        <v>0</v>
      </c>
      <c r="S244" s="68">
        <f t="shared" si="63"/>
        <v>12391.354838709678</v>
      </c>
      <c r="T244" s="69">
        <f t="shared" si="64"/>
        <v>658.0645161290322</v>
      </c>
      <c r="U244" s="69">
        <f t="shared" si="82"/>
        <v>217</v>
      </c>
      <c r="V244" s="68">
        <v>0</v>
      </c>
      <c r="W244" s="68">
        <v>12</v>
      </c>
      <c r="X244" s="68">
        <f t="shared" si="65"/>
        <v>887.0645161290322</v>
      </c>
      <c r="Y244" s="68">
        <f t="shared" si="66"/>
        <v>11504.290322580646</v>
      </c>
      <c r="Z244" s="68"/>
      <c r="AA244" s="68">
        <f t="shared" si="67"/>
        <v>11504.290322580646</v>
      </c>
      <c r="AB244" s="69">
        <f t="shared" si="68"/>
        <v>721.12903225806451</v>
      </c>
      <c r="AC244" s="69">
        <f t="shared" si="83"/>
        <v>589</v>
      </c>
      <c r="AD244" s="70">
        <f t="shared" si="70"/>
        <v>36</v>
      </c>
      <c r="AE244" s="71">
        <f t="shared" si="71"/>
        <v>1346.1290322580644</v>
      </c>
      <c r="AF244" s="71">
        <f t="shared" si="72"/>
        <v>13737.483870967742</v>
      </c>
    </row>
    <row r="245" spans="1:32" x14ac:dyDescent="0.2">
      <c r="A245" s="64" t="s">
        <v>1445</v>
      </c>
      <c r="B245" s="65">
        <v>240</v>
      </c>
      <c r="C245" s="65" t="s">
        <v>1398</v>
      </c>
      <c r="D245" s="64" t="s">
        <v>1445</v>
      </c>
      <c r="E245" s="66" t="s">
        <v>50</v>
      </c>
      <c r="F245" s="65" t="s">
        <v>234</v>
      </c>
      <c r="G245" s="67">
        <v>43047</v>
      </c>
      <c r="H245" s="67"/>
      <c r="I245" s="65">
        <v>34</v>
      </c>
      <c r="J245" s="68">
        <f t="shared" si="78"/>
        <v>5483.8709677419356</v>
      </c>
      <c r="K245" s="68">
        <f t="shared" si="61"/>
        <v>0</v>
      </c>
      <c r="L245" s="68">
        <f t="shared" si="62"/>
        <v>274.19354838709677</v>
      </c>
      <c r="M245" s="68"/>
      <c r="N245" s="68">
        <f t="shared" si="79"/>
        <v>877.41935483870964</v>
      </c>
      <c r="O245" s="68"/>
      <c r="P245" s="68">
        <f t="shared" si="81"/>
        <v>5755.8709677419356</v>
      </c>
      <c r="Q245" s="68">
        <v>0</v>
      </c>
      <c r="R245" s="68">
        <v>0</v>
      </c>
      <c r="S245" s="68">
        <f t="shared" si="63"/>
        <v>12391.354838709678</v>
      </c>
      <c r="T245" s="69">
        <f t="shared" si="64"/>
        <v>658.0645161290322</v>
      </c>
      <c r="U245" s="69">
        <f t="shared" si="82"/>
        <v>217</v>
      </c>
      <c r="V245" s="68">
        <v>0</v>
      </c>
      <c r="W245" s="68">
        <v>12</v>
      </c>
      <c r="X245" s="68">
        <f t="shared" si="65"/>
        <v>887.0645161290322</v>
      </c>
      <c r="Y245" s="68">
        <f t="shared" si="66"/>
        <v>11504.290322580646</v>
      </c>
      <c r="Z245" s="68"/>
      <c r="AA245" s="68">
        <f t="shared" si="67"/>
        <v>11504.290322580646</v>
      </c>
      <c r="AB245" s="69">
        <f t="shared" si="68"/>
        <v>721.12903225806451</v>
      </c>
      <c r="AC245" s="69">
        <f t="shared" si="83"/>
        <v>589</v>
      </c>
      <c r="AD245" s="70">
        <f t="shared" si="70"/>
        <v>36</v>
      </c>
      <c r="AE245" s="71">
        <f t="shared" si="71"/>
        <v>1346.1290322580644</v>
      </c>
      <c r="AF245" s="71">
        <f t="shared" si="72"/>
        <v>13737.483870967742</v>
      </c>
    </row>
    <row r="246" spans="1:32" x14ac:dyDescent="0.2">
      <c r="A246" s="64" t="s">
        <v>1427</v>
      </c>
      <c r="B246" s="65">
        <v>241</v>
      </c>
      <c r="C246" s="65" t="s">
        <v>1399</v>
      </c>
      <c r="D246" s="64" t="s">
        <v>1427</v>
      </c>
      <c r="E246" s="66" t="s">
        <v>50</v>
      </c>
      <c r="F246" s="65" t="s">
        <v>234</v>
      </c>
      <c r="G246" s="67">
        <v>43052</v>
      </c>
      <c r="H246" s="67"/>
      <c r="I246" s="65">
        <v>11</v>
      </c>
      <c r="J246" s="68">
        <f t="shared" si="78"/>
        <v>1774.1935483870966</v>
      </c>
      <c r="K246" s="68">
        <f t="shared" si="61"/>
        <v>0</v>
      </c>
      <c r="L246" s="68">
        <f t="shared" si="62"/>
        <v>88.709677419354833</v>
      </c>
      <c r="M246" s="68"/>
      <c r="N246" s="68">
        <f t="shared" si="79"/>
        <v>283.87096774193549</v>
      </c>
      <c r="O246" s="68"/>
      <c r="P246" s="68">
        <f t="shared" si="81"/>
        <v>1862.1935483870966</v>
      </c>
      <c r="Q246" s="68">
        <v>0</v>
      </c>
      <c r="R246" s="68">
        <v>0</v>
      </c>
      <c r="S246" s="68">
        <f t="shared" si="63"/>
        <v>4008.9677419354834</v>
      </c>
      <c r="T246" s="69">
        <f t="shared" si="64"/>
        <v>212.90322580645159</v>
      </c>
      <c r="U246" s="69">
        <f t="shared" si="82"/>
        <v>71</v>
      </c>
      <c r="V246" s="68">
        <v>0</v>
      </c>
      <c r="W246" s="68">
        <v>12</v>
      </c>
      <c r="X246" s="68">
        <f t="shared" si="65"/>
        <v>295.90322580645159</v>
      </c>
      <c r="Y246" s="68">
        <f t="shared" si="66"/>
        <v>3713.0645161290317</v>
      </c>
      <c r="Z246" s="68"/>
      <c r="AA246" s="68">
        <f t="shared" si="67"/>
        <v>3713.0645161290317</v>
      </c>
      <c r="AB246" s="69">
        <f t="shared" si="68"/>
        <v>233.3064516129032</v>
      </c>
      <c r="AC246" s="69">
        <f t="shared" si="83"/>
        <v>191</v>
      </c>
      <c r="AD246" s="70">
        <f t="shared" si="70"/>
        <v>36</v>
      </c>
      <c r="AE246" s="71">
        <f t="shared" si="71"/>
        <v>460.30645161290317</v>
      </c>
      <c r="AF246" s="71">
        <f t="shared" si="72"/>
        <v>4469.2741935483864</v>
      </c>
    </row>
    <row r="247" spans="1:32" x14ac:dyDescent="0.2">
      <c r="A247" s="64" t="s">
        <v>1428</v>
      </c>
      <c r="B247" s="65">
        <v>242</v>
      </c>
      <c r="C247" s="65" t="s">
        <v>1400</v>
      </c>
      <c r="D247" s="64" t="s">
        <v>1428</v>
      </c>
      <c r="E247" s="66" t="s">
        <v>50</v>
      </c>
      <c r="F247" s="65" t="s">
        <v>234</v>
      </c>
      <c r="G247" s="67">
        <v>43056</v>
      </c>
      <c r="H247" s="67"/>
      <c r="I247" s="65">
        <v>26.5</v>
      </c>
      <c r="J247" s="68">
        <f t="shared" si="78"/>
        <v>4274.1935483870966</v>
      </c>
      <c r="K247" s="68">
        <f t="shared" si="61"/>
        <v>0</v>
      </c>
      <c r="L247" s="68">
        <f t="shared" si="62"/>
        <v>213.70967741935485</v>
      </c>
      <c r="M247" s="68"/>
      <c r="N247" s="68">
        <f t="shared" si="79"/>
        <v>683.87096774193549</v>
      </c>
      <c r="O247" s="68"/>
      <c r="P247" s="68">
        <f t="shared" si="81"/>
        <v>4486.1935483870966</v>
      </c>
      <c r="Q247" s="68">
        <v>0</v>
      </c>
      <c r="R247" s="68">
        <v>0</v>
      </c>
      <c r="S247" s="68">
        <f t="shared" si="63"/>
        <v>9657.9677419354848</v>
      </c>
      <c r="T247" s="69">
        <f t="shared" si="64"/>
        <v>512.90322580645159</v>
      </c>
      <c r="U247" s="69">
        <f t="shared" si="82"/>
        <v>170</v>
      </c>
      <c r="V247" s="68">
        <v>0</v>
      </c>
      <c r="W247" s="68">
        <v>12</v>
      </c>
      <c r="X247" s="68">
        <f t="shared" si="65"/>
        <v>694.90322580645159</v>
      </c>
      <c r="Y247" s="68">
        <f t="shared" si="66"/>
        <v>8963.064516129034</v>
      </c>
      <c r="Z247" s="68"/>
      <c r="AA247" s="68">
        <f t="shared" si="67"/>
        <v>8963.064516129034</v>
      </c>
      <c r="AB247" s="69">
        <f t="shared" si="68"/>
        <v>562.05645161290317</v>
      </c>
      <c r="AC247" s="69">
        <f t="shared" si="83"/>
        <v>459</v>
      </c>
      <c r="AD247" s="70">
        <f t="shared" si="70"/>
        <v>36</v>
      </c>
      <c r="AE247" s="71">
        <f t="shared" si="71"/>
        <v>1057.0564516129032</v>
      </c>
      <c r="AF247" s="71">
        <f t="shared" si="72"/>
        <v>10715.024193548388</v>
      </c>
    </row>
    <row r="248" spans="1:32" x14ac:dyDescent="0.2">
      <c r="A248" s="64" t="s">
        <v>1429</v>
      </c>
      <c r="B248" s="65">
        <v>243</v>
      </c>
      <c r="C248" s="65" t="s">
        <v>1401</v>
      </c>
      <c r="D248" s="64" t="s">
        <v>1429</v>
      </c>
      <c r="E248" s="66" t="s">
        <v>50</v>
      </c>
      <c r="F248" s="65" t="s">
        <v>234</v>
      </c>
      <c r="G248" s="67">
        <v>43047</v>
      </c>
      <c r="H248" s="67"/>
      <c r="I248" s="65">
        <v>33</v>
      </c>
      <c r="J248" s="68">
        <f t="shared" si="78"/>
        <v>5322.5806451612898</v>
      </c>
      <c r="K248" s="68">
        <f t="shared" si="61"/>
        <v>0</v>
      </c>
      <c r="L248" s="68">
        <f t="shared" si="62"/>
        <v>266.12903225806451</v>
      </c>
      <c r="M248" s="68"/>
      <c r="N248" s="68">
        <f t="shared" si="79"/>
        <v>851.61290322580635</v>
      </c>
      <c r="O248" s="68"/>
      <c r="P248" s="68">
        <f t="shared" si="81"/>
        <v>5586.5806451612898</v>
      </c>
      <c r="Q248" s="68">
        <v>0</v>
      </c>
      <c r="R248" s="68">
        <v>0</v>
      </c>
      <c r="S248" s="68">
        <f t="shared" si="63"/>
        <v>12026.903225806451</v>
      </c>
      <c r="T248" s="69">
        <f t="shared" si="64"/>
        <v>638.70967741935476</v>
      </c>
      <c r="U248" s="69">
        <f t="shared" si="82"/>
        <v>211</v>
      </c>
      <c r="V248" s="68">
        <v>0</v>
      </c>
      <c r="W248" s="68">
        <v>12</v>
      </c>
      <c r="X248" s="68">
        <f t="shared" si="65"/>
        <v>861.70967741935476</v>
      </c>
      <c r="Y248" s="68">
        <f t="shared" si="66"/>
        <v>11165.193548387097</v>
      </c>
      <c r="Z248" s="68"/>
      <c r="AA248" s="68">
        <f t="shared" si="67"/>
        <v>11165.193548387097</v>
      </c>
      <c r="AB248" s="69">
        <f t="shared" si="68"/>
        <v>699.91935483870964</v>
      </c>
      <c r="AC248" s="69">
        <f t="shared" si="83"/>
        <v>572</v>
      </c>
      <c r="AD248" s="70">
        <f t="shared" si="70"/>
        <v>36</v>
      </c>
      <c r="AE248" s="71">
        <f t="shared" si="71"/>
        <v>1307.9193548387098</v>
      </c>
      <c r="AF248" s="71">
        <f t="shared" si="72"/>
        <v>13334.822580645161</v>
      </c>
    </row>
    <row r="249" spans="1:32" x14ac:dyDescent="0.2">
      <c r="A249" s="64" t="s">
        <v>1430</v>
      </c>
      <c r="B249" s="65">
        <v>244</v>
      </c>
      <c r="C249" s="65" t="s">
        <v>1402</v>
      </c>
      <c r="D249" s="64" t="s">
        <v>1430</v>
      </c>
      <c r="E249" s="66" t="s">
        <v>50</v>
      </c>
      <c r="F249" s="65" t="s">
        <v>234</v>
      </c>
      <c r="G249" s="67">
        <v>43063</v>
      </c>
      <c r="H249" s="67"/>
      <c r="I249" s="65">
        <v>8</v>
      </c>
      <c r="J249" s="68">
        <f t="shared" si="78"/>
        <v>1290.3225806451612</v>
      </c>
      <c r="K249" s="68">
        <f t="shared" si="61"/>
        <v>0</v>
      </c>
      <c r="L249" s="68">
        <f t="shared" si="62"/>
        <v>64.516129032258064</v>
      </c>
      <c r="M249" s="68"/>
      <c r="N249" s="68">
        <f t="shared" si="79"/>
        <v>206.45161290322579</v>
      </c>
      <c r="O249" s="68"/>
      <c r="P249" s="68">
        <f t="shared" si="81"/>
        <v>1354.3225806451612</v>
      </c>
      <c r="Q249" s="68">
        <v>0</v>
      </c>
      <c r="R249" s="68">
        <v>0</v>
      </c>
      <c r="S249" s="68">
        <f t="shared" si="63"/>
        <v>2915.6129032258063</v>
      </c>
      <c r="T249" s="69">
        <f t="shared" si="64"/>
        <v>154.83870967741933</v>
      </c>
      <c r="U249" s="69">
        <f t="shared" si="82"/>
        <v>52</v>
      </c>
      <c r="V249" s="68">
        <v>0</v>
      </c>
      <c r="W249" s="68">
        <v>12</v>
      </c>
      <c r="X249" s="68">
        <f t="shared" si="65"/>
        <v>218.83870967741933</v>
      </c>
      <c r="Y249" s="68">
        <f t="shared" si="66"/>
        <v>2696.7741935483868</v>
      </c>
      <c r="Z249" s="68"/>
      <c r="AA249" s="68">
        <f t="shared" si="67"/>
        <v>2696.7741935483868</v>
      </c>
      <c r="AB249" s="69">
        <f t="shared" si="68"/>
        <v>169.67741935483872</v>
      </c>
      <c r="AC249" s="69">
        <f t="shared" si="83"/>
        <v>139</v>
      </c>
      <c r="AD249" s="70">
        <f t="shared" si="70"/>
        <v>36</v>
      </c>
      <c r="AE249" s="71">
        <f t="shared" si="71"/>
        <v>344.67741935483872</v>
      </c>
      <c r="AF249" s="71">
        <f t="shared" si="72"/>
        <v>3260.2903225806449</v>
      </c>
    </row>
    <row r="250" spans="1:32" x14ac:dyDescent="0.2">
      <c r="A250" s="64" t="s">
        <v>1431</v>
      </c>
      <c r="B250" s="65">
        <v>245</v>
      </c>
      <c r="C250" s="65" t="s">
        <v>1403</v>
      </c>
      <c r="D250" s="64" t="s">
        <v>1431</v>
      </c>
      <c r="E250" s="66" t="s">
        <v>50</v>
      </c>
      <c r="F250" s="65" t="s">
        <v>234</v>
      </c>
      <c r="G250" s="67">
        <v>43063</v>
      </c>
      <c r="H250" s="67"/>
      <c r="I250" s="65">
        <v>36</v>
      </c>
      <c r="J250" s="68">
        <f t="shared" si="78"/>
        <v>5806.4516129032254</v>
      </c>
      <c r="K250" s="68">
        <f t="shared" si="61"/>
        <v>0</v>
      </c>
      <c r="L250" s="68">
        <f t="shared" si="62"/>
        <v>290.32258064516128</v>
      </c>
      <c r="M250" s="68"/>
      <c r="N250" s="68">
        <f t="shared" si="79"/>
        <v>929.0322580645161</v>
      </c>
      <c r="O250" s="68"/>
      <c r="P250" s="68">
        <f t="shared" si="81"/>
        <v>6094.4516129032254</v>
      </c>
      <c r="Q250" s="68">
        <v>0</v>
      </c>
      <c r="R250" s="68">
        <v>0</v>
      </c>
      <c r="S250" s="68">
        <f t="shared" si="63"/>
        <v>13120.258064516129</v>
      </c>
      <c r="T250" s="69">
        <f t="shared" si="64"/>
        <v>696.77419354838707</v>
      </c>
      <c r="U250" s="69">
        <f t="shared" si="82"/>
        <v>230</v>
      </c>
      <c r="V250" s="68">
        <v>0</v>
      </c>
      <c r="W250" s="68">
        <v>12</v>
      </c>
      <c r="X250" s="68">
        <f t="shared" si="65"/>
        <v>938.77419354838707</v>
      </c>
      <c r="Y250" s="68">
        <f t="shared" si="66"/>
        <v>12181.483870967742</v>
      </c>
      <c r="Z250" s="68"/>
      <c r="AA250" s="68">
        <f t="shared" si="67"/>
        <v>12181.483870967742</v>
      </c>
      <c r="AB250" s="69">
        <f t="shared" si="68"/>
        <v>763.54838709677415</v>
      </c>
      <c r="AC250" s="69">
        <f t="shared" si="83"/>
        <v>624</v>
      </c>
      <c r="AD250" s="70">
        <f t="shared" si="70"/>
        <v>36</v>
      </c>
      <c r="AE250" s="71">
        <f t="shared" si="71"/>
        <v>1423.5483870967741</v>
      </c>
      <c r="AF250" s="71">
        <f t="shared" si="72"/>
        <v>14543.806451612903</v>
      </c>
    </row>
    <row r="251" spans="1:32" x14ac:dyDescent="0.2">
      <c r="A251" s="64" t="s">
        <v>1432</v>
      </c>
      <c r="B251" s="65">
        <v>246</v>
      </c>
      <c r="C251" s="65" t="s">
        <v>1404</v>
      </c>
      <c r="D251" s="64" t="s">
        <v>1432</v>
      </c>
      <c r="E251" s="66" t="s">
        <v>50</v>
      </c>
      <c r="F251" s="65" t="s">
        <v>234</v>
      </c>
      <c r="G251" s="67">
        <v>43063</v>
      </c>
      <c r="H251" s="67"/>
      <c r="I251" s="65">
        <v>29</v>
      </c>
      <c r="J251" s="68">
        <f t="shared" si="78"/>
        <v>4677.4193548387093</v>
      </c>
      <c r="K251" s="68">
        <f t="shared" si="61"/>
        <v>0</v>
      </c>
      <c r="L251" s="68">
        <f t="shared" si="62"/>
        <v>233.87096774193549</v>
      </c>
      <c r="M251" s="68"/>
      <c r="N251" s="68">
        <f t="shared" si="79"/>
        <v>748.38709677419354</v>
      </c>
      <c r="O251" s="68"/>
      <c r="P251" s="68">
        <f t="shared" si="81"/>
        <v>4909.4193548387093</v>
      </c>
      <c r="Q251" s="68">
        <v>0</v>
      </c>
      <c r="R251" s="68">
        <v>0</v>
      </c>
      <c r="S251" s="68">
        <f t="shared" si="63"/>
        <v>10569.096774193547</v>
      </c>
      <c r="T251" s="69">
        <f t="shared" si="64"/>
        <v>561.29032258064512</v>
      </c>
      <c r="U251" s="69">
        <f t="shared" si="82"/>
        <v>185</v>
      </c>
      <c r="V251" s="68">
        <v>0</v>
      </c>
      <c r="W251" s="68">
        <v>12</v>
      </c>
      <c r="X251" s="68">
        <f t="shared" si="65"/>
        <v>758.29032258064512</v>
      </c>
      <c r="Y251" s="68">
        <f t="shared" si="66"/>
        <v>9810.8064516129016</v>
      </c>
      <c r="Z251" s="68"/>
      <c r="AA251" s="68">
        <f t="shared" si="67"/>
        <v>9810.8064516129016</v>
      </c>
      <c r="AB251" s="69">
        <f t="shared" si="68"/>
        <v>615.08064516129025</v>
      </c>
      <c r="AC251" s="69">
        <f t="shared" si="83"/>
        <v>503</v>
      </c>
      <c r="AD251" s="70">
        <f t="shared" si="70"/>
        <v>36</v>
      </c>
      <c r="AE251" s="71">
        <f t="shared" si="71"/>
        <v>1154.0806451612902</v>
      </c>
      <c r="AF251" s="71">
        <f t="shared" si="72"/>
        <v>11723.177419354837</v>
      </c>
    </row>
    <row r="252" spans="1:32" x14ac:dyDescent="0.2">
      <c r="A252" s="64" t="s">
        <v>1446</v>
      </c>
      <c r="B252" s="65">
        <v>247</v>
      </c>
      <c r="C252" s="65" t="s">
        <v>367</v>
      </c>
      <c r="D252" s="64" t="s">
        <v>1446</v>
      </c>
      <c r="E252" s="66" t="s">
        <v>50</v>
      </c>
      <c r="F252" s="65" t="s">
        <v>234</v>
      </c>
      <c r="G252" s="67">
        <v>43060</v>
      </c>
      <c r="H252" s="67"/>
      <c r="I252" s="65">
        <v>32</v>
      </c>
      <c r="J252" s="68">
        <f t="shared" ref="J252:J283" si="84">(5000/I$3)*I252</f>
        <v>5161.2903225806449</v>
      </c>
      <c r="K252" s="68">
        <f t="shared" si="61"/>
        <v>0</v>
      </c>
      <c r="L252" s="68">
        <f t="shared" si="62"/>
        <v>258.06451612903226</v>
      </c>
      <c r="M252" s="68"/>
      <c r="N252" s="68">
        <f t="shared" ref="N252:N283" si="85">((800)/I$3)*I252</f>
        <v>825.80645161290317</v>
      </c>
      <c r="O252" s="68"/>
      <c r="P252" s="68">
        <f t="shared" si="81"/>
        <v>5417.2903225806449</v>
      </c>
      <c r="Q252" s="68">
        <v>0</v>
      </c>
      <c r="R252" s="68">
        <v>0</v>
      </c>
      <c r="S252" s="68">
        <f t="shared" si="63"/>
        <v>11662.451612903225</v>
      </c>
      <c r="T252" s="69">
        <f t="shared" si="64"/>
        <v>619.35483870967732</v>
      </c>
      <c r="U252" s="69">
        <f t="shared" si="82"/>
        <v>205</v>
      </c>
      <c r="V252" s="68">
        <v>0</v>
      </c>
      <c r="W252" s="68">
        <v>12</v>
      </c>
      <c r="X252" s="68">
        <f t="shared" si="65"/>
        <v>836.35483870967732</v>
      </c>
      <c r="Y252" s="68">
        <f t="shared" si="66"/>
        <v>10826.096774193547</v>
      </c>
      <c r="Z252" s="68"/>
      <c r="AA252" s="68">
        <f t="shared" si="67"/>
        <v>10826.096774193547</v>
      </c>
      <c r="AB252" s="69">
        <f t="shared" si="68"/>
        <v>678.70967741935488</v>
      </c>
      <c r="AC252" s="69">
        <f t="shared" si="83"/>
        <v>554</v>
      </c>
      <c r="AD252" s="70">
        <f t="shared" si="70"/>
        <v>36</v>
      </c>
      <c r="AE252" s="71">
        <f t="shared" si="71"/>
        <v>1268.7096774193549</v>
      </c>
      <c r="AF252" s="71">
        <f t="shared" si="72"/>
        <v>12931.16129032258</v>
      </c>
    </row>
    <row r="253" spans="1:32" x14ac:dyDescent="0.2">
      <c r="A253" s="64" t="s">
        <v>1433</v>
      </c>
      <c r="B253" s="65">
        <v>248</v>
      </c>
      <c r="C253" s="65" t="s">
        <v>1405</v>
      </c>
      <c r="D253" s="64" t="s">
        <v>1433</v>
      </c>
      <c r="E253" s="66" t="s">
        <v>50</v>
      </c>
      <c r="F253" s="65" t="s">
        <v>234</v>
      </c>
      <c r="G253" s="67">
        <v>43063</v>
      </c>
      <c r="H253" s="67"/>
      <c r="I253" s="65">
        <v>33</v>
      </c>
      <c r="J253" s="68">
        <f t="shared" si="84"/>
        <v>5322.5806451612898</v>
      </c>
      <c r="K253" s="68">
        <f t="shared" si="61"/>
        <v>0</v>
      </c>
      <c r="L253" s="68">
        <f t="shared" si="62"/>
        <v>266.12903225806451</v>
      </c>
      <c r="M253" s="68"/>
      <c r="N253" s="68">
        <f t="shared" si="85"/>
        <v>851.61290322580635</v>
      </c>
      <c r="O253" s="68"/>
      <c r="P253" s="68">
        <f t="shared" si="81"/>
        <v>5586.5806451612898</v>
      </c>
      <c r="Q253" s="68">
        <v>0</v>
      </c>
      <c r="R253" s="68">
        <v>0</v>
      </c>
      <c r="S253" s="68">
        <f t="shared" si="63"/>
        <v>12026.903225806451</v>
      </c>
      <c r="T253" s="69">
        <f t="shared" si="64"/>
        <v>638.70967741935476</v>
      </c>
      <c r="U253" s="69">
        <f t="shared" si="82"/>
        <v>211</v>
      </c>
      <c r="V253" s="68">
        <v>0</v>
      </c>
      <c r="W253" s="68">
        <v>12</v>
      </c>
      <c r="X253" s="68">
        <f t="shared" si="65"/>
        <v>861.70967741935476</v>
      </c>
      <c r="Y253" s="68">
        <f t="shared" si="66"/>
        <v>11165.193548387097</v>
      </c>
      <c r="Z253" s="68"/>
      <c r="AA253" s="68">
        <f t="shared" si="67"/>
        <v>11165.193548387097</v>
      </c>
      <c r="AB253" s="69">
        <f t="shared" si="68"/>
        <v>699.91935483870964</v>
      </c>
      <c r="AC253" s="69">
        <f t="shared" si="83"/>
        <v>572</v>
      </c>
      <c r="AD253" s="70">
        <f t="shared" si="70"/>
        <v>36</v>
      </c>
      <c r="AE253" s="71">
        <f t="shared" si="71"/>
        <v>1307.9193548387098</v>
      </c>
      <c r="AF253" s="71">
        <f t="shared" si="72"/>
        <v>13334.822580645161</v>
      </c>
    </row>
    <row r="254" spans="1:32" s="62" customFormat="1" x14ac:dyDescent="0.2">
      <c r="A254" s="98" t="s">
        <v>1580</v>
      </c>
      <c r="B254" s="72">
        <v>249</v>
      </c>
      <c r="C254" s="72" t="s">
        <v>1454</v>
      </c>
      <c r="D254" s="98" t="s">
        <v>1580</v>
      </c>
      <c r="E254" s="99" t="s">
        <v>50</v>
      </c>
      <c r="F254" s="72" t="s">
        <v>235</v>
      </c>
      <c r="G254" s="100">
        <v>43085</v>
      </c>
      <c r="H254" s="100"/>
      <c r="I254" s="72">
        <v>17</v>
      </c>
      <c r="J254" s="101">
        <f t="shared" si="84"/>
        <v>2741.9354838709678</v>
      </c>
      <c r="K254" s="101">
        <f t="shared" si="61"/>
        <v>0</v>
      </c>
      <c r="L254" s="101">
        <f t="shared" si="62"/>
        <v>137.09677419354838</v>
      </c>
      <c r="M254" s="101"/>
      <c r="N254" s="101">
        <f t="shared" si="85"/>
        <v>438.70967741935482</v>
      </c>
      <c r="O254" s="101"/>
      <c r="P254" s="101">
        <f>((5248+509)/I$3)*I254</f>
        <v>3157.0645161290322</v>
      </c>
      <c r="Q254" s="101">
        <v>0</v>
      </c>
      <c r="R254" s="101">
        <v>0</v>
      </c>
      <c r="S254" s="101">
        <f t="shared" si="63"/>
        <v>6474.8064516129034</v>
      </c>
      <c r="T254" s="102">
        <f t="shared" si="64"/>
        <v>329.0322580645161</v>
      </c>
      <c r="U254" s="102">
        <f t="shared" si="82"/>
        <v>114</v>
      </c>
      <c r="V254" s="101">
        <v>0</v>
      </c>
      <c r="W254" s="101">
        <v>12</v>
      </c>
      <c r="X254" s="101">
        <f t="shared" si="65"/>
        <v>455.0322580645161</v>
      </c>
      <c r="Y254" s="101">
        <f t="shared" si="66"/>
        <v>6019.7741935483873</v>
      </c>
      <c r="Z254" s="101"/>
      <c r="AA254" s="101">
        <f t="shared" si="67"/>
        <v>6019.7741935483873</v>
      </c>
      <c r="AB254" s="102">
        <f t="shared" si="68"/>
        <v>360.56451612903226</v>
      </c>
      <c r="AC254" s="102">
        <f t="shared" si="83"/>
        <v>308</v>
      </c>
      <c r="AD254" s="103">
        <f t="shared" si="70"/>
        <v>36</v>
      </c>
      <c r="AE254" s="104">
        <f t="shared" si="71"/>
        <v>704.5645161290322</v>
      </c>
      <c r="AF254" s="104">
        <f t="shared" si="72"/>
        <v>7179.3709677419356</v>
      </c>
    </row>
    <row r="255" spans="1:32" x14ac:dyDescent="0.2">
      <c r="A255" s="64" t="s">
        <v>1581</v>
      </c>
      <c r="B255" s="65">
        <v>250</v>
      </c>
      <c r="C255" s="65" t="s">
        <v>1455</v>
      </c>
      <c r="D255" s="64" t="s">
        <v>1581</v>
      </c>
      <c r="E255" s="66" t="s">
        <v>50</v>
      </c>
      <c r="F255" s="65" t="s">
        <v>1451</v>
      </c>
      <c r="G255" s="67">
        <v>43075</v>
      </c>
      <c r="H255" s="67"/>
      <c r="I255" s="65">
        <v>31</v>
      </c>
      <c r="J255" s="68">
        <f t="shared" si="84"/>
        <v>5000</v>
      </c>
      <c r="K255" s="68">
        <f t="shared" si="61"/>
        <v>0</v>
      </c>
      <c r="L255" s="68">
        <f t="shared" si="62"/>
        <v>250</v>
      </c>
      <c r="M255" s="68"/>
      <c r="N255" s="68">
        <f t="shared" si="85"/>
        <v>800</v>
      </c>
      <c r="O255" s="68"/>
      <c r="P255" s="68">
        <f>((5248-1018)/I$3)*I255</f>
        <v>4230</v>
      </c>
      <c r="Q255" s="68">
        <v>0</v>
      </c>
      <c r="R255" s="68">
        <v>0</v>
      </c>
      <c r="S255" s="68">
        <f t="shared" si="63"/>
        <v>10280</v>
      </c>
      <c r="T255" s="69">
        <f t="shared" si="64"/>
        <v>600</v>
      </c>
      <c r="U255" s="69">
        <f t="shared" si="82"/>
        <v>180</v>
      </c>
      <c r="V255" s="68">
        <v>0</v>
      </c>
      <c r="W255" s="68">
        <v>12</v>
      </c>
      <c r="X255" s="68">
        <f t="shared" si="65"/>
        <v>792</v>
      </c>
      <c r="Y255" s="68">
        <f t="shared" si="66"/>
        <v>9488</v>
      </c>
      <c r="Z255" s="68"/>
      <c r="AA255" s="68">
        <f t="shared" si="67"/>
        <v>9488</v>
      </c>
      <c r="AB255" s="69">
        <f t="shared" si="68"/>
        <v>657.5</v>
      </c>
      <c r="AC255" s="69">
        <f t="shared" si="83"/>
        <v>489</v>
      </c>
      <c r="AD255" s="70">
        <f t="shared" si="70"/>
        <v>36</v>
      </c>
      <c r="AE255" s="71">
        <f t="shared" si="71"/>
        <v>1182.5</v>
      </c>
      <c r="AF255" s="71">
        <f t="shared" si="72"/>
        <v>11462.5</v>
      </c>
    </row>
    <row r="256" spans="1:32" x14ac:dyDescent="0.2">
      <c r="A256" s="64" t="s">
        <v>1582</v>
      </c>
      <c r="B256" s="65">
        <v>251</v>
      </c>
      <c r="C256" s="65" t="s">
        <v>1456</v>
      </c>
      <c r="D256" s="64" t="s">
        <v>1582</v>
      </c>
      <c r="E256" s="66" t="s">
        <v>50</v>
      </c>
      <c r="F256" s="65" t="s">
        <v>581</v>
      </c>
      <c r="G256" s="67">
        <v>43077</v>
      </c>
      <c r="H256" s="67"/>
      <c r="I256" s="65">
        <v>29</v>
      </c>
      <c r="J256" s="68">
        <f t="shared" si="84"/>
        <v>4677.4193548387093</v>
      </c>
      <c r="K256" s="68">
        <f t="shared" si="61"/>
        <v>0</v>
      </c>
      <c r="L256" s="68">
        <f t="shared" si="62"/>
        <v>233.87096774193549</v>
      </c>
      <c r="M256" s="68"/>
      <c r="N256" s="68">
        <f t="shared" si="85"/>
        <v>748.38709677419354</v>
      </c>
      <c r="O256" s="68"/>
      <c r="P256" s="68">
        <f>((5248+509)/I$3)*I256</f>
        <v>5385.5806451612907</v>
      </c>
      <c r="Q256" s="68">
        <v>0</v>
      </c>
      <c r="R256" s="68">
        <v>0</v>
      </c>
      <c r="S256" s="68">
        <f t="shared" si="63"/>
        <v>11045.258064516129</v>
      </c>
      <c r="T256" s="69">
        <f t="shared" si="64"/>
        <v>561.29032258064512</v>
      </c>
      <c r="U256" s="69">
        <f t="shared" si="82"/>
        <v>194</v>
      </c>
      <c r="V256" s="68">
        <v>0</v>
      </c>
      <c r="W256" s="68">
        <v>12</v>
      </c>
      <c r="X256" s="68">
        <f t="shared" si="65"/>
        <v>767.29032258064512</v>
      </c>
      <c r="Y256" s="68">
        <f t="shared" si="66"/>
        <v>10277.967741935483</v>
      </c>
      <c r="Z256" s="68"/>
      <c r="AA256" s="68">
        <f t="shared" si="67"/>
        <v>10277.967741935483</v>
      </c>
      <c r="AB256" s="69">
        <f t="shared" si="68"/>
        <v>615.08064516129025</v>
      </c>
      <c r="AC256" s="69">
        <f t="shared" si="83"/>
        <v>525</v>
      </c>
      <c r="AD256" s="70">
        <f t="shared" si="70"/>
        <v>36</v>
      </c>
      <c r="AE256" s="71">
        <f t="shared" si="71"/>
        <v>1176.0806451612902</v>
      </c>
      <c r="AF256" s="71">
        <f t="shared" si="72"/>
        <v>12221.338709677419</v>
      </c>
    </row>
    <row r="257" spans="1:32" x14ac:dyDescent="0.2">
      <c r="A257" s="64" t="s">
        <v>1583</v>
      </c>
      <c r="B257" s="65">
        <v>252</v>
      </c>
      <c r="C257" s="65" t="s">
        <v>1457</v>
      </c>
      <c r="D257" s="64" t="s">
        <v>1583</v>
      </c>
      <c r="E257" s="66" t="s">
        <v>50</v>
      </c>
      <c r="F257" s="65" t="s">
        <v>1452</v>
      </c>
      <c r="G257" s="67">
        <v>43097</v>
      </c>
      <c r="H257" s="67"/>
      <c r="I257" s="65">
        <v>4</v>
      </c>
      <c r="J257" s="68">
        <f t="shared" si="84"/>
        <v>645.16129032258061</v>
      </c>
      <c r="K257" s="68">
        <f t="shared" si="61"/>
        <v>0</v>
      </c>
      <c r="L257" s="68">
        <f t="shared" si="62"/>
        <v>32.258064516129032</v>
      </c>
      <c r="M257" s="68"/>
      <c r="N257" s="68">
        <f t="shared" si="85"/>
        <v>103.2258064516129</v>
      </c>
      <c r="O257" s="68"/>
      <c r="P257" s="68">
        <f>((5248+1527)/I$3)*I257</f>
        <v>874.19354838709683</v>
      </c>
      <c r="Q257" s="68">
        <v>0</v>
      </c>
      <c r="R257" s="68">
        <v>0</v>
      </c>
      <c r="S257" s="68">
        <f t="shared" si="63"/>
        <v>1654.8387096774195</v>
      </c>
      <c r="T257" s="69">
        <f t="shared" si="64"/>
        <v>77.419354838709666</v>
      </c>
      <c r="U257" s="69">
        <f t="shared" si="82"/>
        <v>29</v>
      </c>
      <c r="V257" s="68">
        <v>0</v>
      </c>
      <c r="W257" s="68">
        <v>12</v>
      </c>
      <c r="X257" s="68">
        <f t="shared" si="65"/>
        <v>118.41935483870967</v>
      </c>
      <c r="Y257" s="68">
        <f t="shared" si="66"/>
        <v>1536.4193548387098</v>
      </c>
      <c r="Z257" s="68"/>
      <c r="AA257" s="68">
        <f t="shared" si="67"/>
        <v>1536.4193548387098</v>
      </c>
      <c r="AB257" s="69">
        <f t="shared" si="68"/>
        <v>84.838709677419359</v>
      </c>
      <c r="AC257" s="69">
        <f t="shared" si="83"/>
        <v>79</v>
      </c>
      <c r="AD257" s="70">
        <f t="shared" si="70"/>
        <v>36</v>
      </c>
      <c r="AE257" s="71">
        <f t="shared" si="71"/>
        <v>199.83870967741936</v>
      </c>
      <c r="AF257" s="71">
        <f t="shared" si="72"/>
        <v>1854.6774193548388</v>
      </c>
    </row>
    <row r="258" spans="1:32" x14ac:dyDescent="0.2">
      <c r="A258" s="64" t="s">
        <v>1584</v>
      </c>
      <c r="B258" s="65">
        <v>253</v>
      </c>
      <c r="C258" s="65" t="s">
        <v>1458</v>
      </c>
      <c r="D258" s="64" t="s">
        <v>1584</v>
      </c>
      <c r="E258" s="66" t="s">
        <v>50</v>
      </c>
      <c r="F258" s="65" t="s">
        <v>581</v>
      </c>
      <c r="G258" s="67">
        <v>43097</v>
      </c>
      <c r="H258" s="67"/>
      <c r="I258" s="65">
        <v>4</v>
      </c>
      <c r="J258" s="68">
        <f t="shared" si="84"/>
        <v>645.16129032258061</v>
      </c>
      <c r="K258" s="68">
        <f t="shared" si="61"/>
        <v>0</v>
      </c>
      <c r="L258" s="68">
        <f t="shared" si="62"/>
        <v>32.258064516129032</v>
      </c>
      <c r="M258" s="68"/>
      <c r="N258" s="68">
        <f t="shared" si="85"/>
        <v>103.2258064516129</v>
      </c>
      <c r="O258" s="68"/>
      <c r="P258" s="68">
        <f t="shared" ref="P258:P301" si="86">((5248)/I$3)*I258</f>
        <v>677.16129032258061</v>
      </c>
      <c r="Q258" s="68">
        <v>0</v>
      </c>
      <c r="R258" s="68">
        <v>0</v>
      </c>
      <c r="S258" s="68">
        <f t="shared" si="63"/>
        <v>1457.8064516129032</v>
      </c>
      <c r="T258" s="69">
        <f t="shared" si="64"/>
        <v>77.419354838709666</v>
      </c>
      <c r="U258" s="69">
        <f t="shared" si="82"/>
        <v>26</v>
      </c>
      <c r="V258" s="68">
        <v>0</v>
      </c>
      <c r="W258" s="68">
        <v>12</v>
      </c>
      <c r="X258" s="68">
        <f t="shared" si="65"/>
        <v>115.41935483870967</v>
      </c>
      <c r="Y258" s="68">
        <f t="shared" si="66"/>
        <v>1342.3870967741934</v>
      </c>
      <c r="Z258" s="68"/>
      <c r="AA258" s="68">
        <f t="shared" si="67"/>
        <v>1342.3870967741934</v>
      </c>
      <c r="AB258" s="69">
        <f t="shared" si="68"/>
        <v>84.838709677419359</v>
      </c>
      <c r="AC258" s="69">
        <f t="shared" si="83"/>
        <v>70</v>
      </c>
      <c r="AD258" s="70">
        <f t="shared" si="70"/>
        <v>36</v>
      </c>
      <c r="AE258" s="71">
        <f t="shared" si="71"/>
        <v>190.83870967741936</v>
      </c>
      <c r="AF258" s="71">
        <f t="shared" si="72"/>
        <v>1648.6451612903224</v>
      </c>
    </row>
    <row r="259" spans="1:32" x14ac:dyDescent="0.2">
      <c r="A259" s="64" t="s">
        <v>1585</v>
      </c>
      <c r="B259" s="65">
        <v>254</v>
      </c>
      <c r="C259" s="65" t="s">
        <v>395</v>
      </c>
      <c r="D259" s="64" t="s">
        <v>1585</v>
      </c>
      <c r="E259" s="66" t="s">
        <v>50</v>
      </c>
      <c r="F259" s="65" t="s">
        <v>234</v>
      </c>
      <c r="G259" s="67">
        <v>43073</v>
      </c>
      <c r="H259" s="67"/>
      <c r="I259" s="65">
        <v>33</v>
      </c>
      <c r="J259" s="68">
        <f t="shared" si="84"/>
        <v>5322.5806451612898</v>
      </c>
      <c r="K259" s="68">
        <f t="shared" si="61"/>
        <v>0</v>
      </c>
      <c r="L259" s="68">
        <f t="shared" si="62"/>
        <v>266.12903225806451</v>
      </c>
      <c r="M259" s="68"/>
      <c r="N259" s="68">
        <f t="shared" si="85"/>
        <v>851.61290322580635</v>
      </c>
      <c r="O259" s="68"/>
      <c r="P259" s="68">
        <f t="shared" si="86"/>
        <v>5586.5806451612898</v>
      </c>
      <c r="Q259" s="68">
        <v>0</v>
      </c>
      <c r="R259" s="68">
        <v>0</v>
      </c>
      <c r="S259" s="68">
        <f t="shared" si="63"/>
        <v>12026.903225806451</v>
      </c>
      <c r="T259" s="69">
        <f t="shared" si="64"/>
        <v>638.70967741935476</v>
      </c>
      <c r="U259" s="69">
        <f t="shared" si="82"/>
        <v>211</v>
      </c>
      <c r="V259" s="68">
        <v>0</v>
      </c>
      <c r="W259" s="68">
        <v>12</v>
      </c>
      <c r="X259" s="68">
        <f t="shared" si="65"/>
        <v>861.70967741935476</v>
      </c>
      <c r="Y259" s="68">
        <f t="shared" si="66"/>
        <v>11165.193548387097</v>
      </c>
      <c r="Z259" s="68"/>
      <c r="AA259" s="68">
        <f t="shared" si="67"/>
        <v>11165.193548387097</v>
      </c>
      <c r="AB259" s="69">
        <f t="shared" si="68"/>
        <v>699.91935483870964</v>
      </c>
      <c r="AC259" s="69">
        <f t="shared" si="83"/>
        <v>572</v>
      </c>
      <c r="AD259" s="70">
        <f t="shared" si="70"/>
        <v>36</v>
      </c>
      <c r="AE259" s="71">
        <f t="shared" si="71"/>
        <v>1307.9193548387098</v>
      </c>
      <c r="AF259" s="71">
        <f t="shared" si="72"/>
        <v>13334.822580645161</v>
      </c>
    </row>
    <row r="260" spans="1:32" x14ac:dyDescent="0.2">
      <c r="A260" s="64" t="s">
        <v>1586</v>
      </c>
      <c r="B260" s="65">
        <v>255</v>
      </c>
      <c r="C260" s="65" t="s">
        <v>1046</v>
      </c>
      <c r="D260" s="64" t="s">
        <v>1586</v>
      </c>
      <c r="E260" s="66" t="s">
        <v>50</v>
      </c>
      <c r="F260" s="65" t="s">
        <v>234</v>
      </c>
      <c r="G260" s="67">
        <v>43073</v>
      </c>
      <c r="H260" s="67"/>
      <c r="I260" s="65">
        <v>30</v>
      </c>
      <c r="J260" s="68">
        <f t="shared" si="84"/>
        <v>4838.7096774193542</v>
      </c>
      <c r="K260" s="68">
        <f t="shared" si="61"/>
        <v>0</v>
      </c>
      <c r="L260" s="68">
        <f t="shared" si="62"/>
        <v>241.93548387096772</v>
      </c>
      <c r="M260" s="68"/>
      <c r="N260" s="68">
        <f t="shared" si="85"/>
        <v>774.19354838709671</v>
      </c>
      <c r="O260" s="68"/>
      <c r="P260" s="68">
        <f t="shared" si="86"/>
        <v>5078.7096774193542</v>
      </c>
      <c r="Q260" s="68">
        <v>0</v>
      </c>
      <c r="R260" s="68">
        <v>0</v>
      </c>
      <c r="S260" s="68">
        <f t="shared" si="63"/>
        <v>10933.548387096773</v>
      </c>
      <c r="T260" s="69">
        <f t="shared" si="64"/>
        <v>580.64516129032245</v>
      </c>
      <c r="U260" s="69">
        <f t="shared" si="82"/>
        <v>192</v>
      </c>
      <c r="V260" s="68">
        <v>0</v>
      </c>
      <c r="W260" s="68">
        <v>12</v>
      </c>
      <c r="X260" s="68">
        <f t="shared" si="65"/>
        <v>784.64516129032245</v>
      </c>
      <c r="Y260" s="68">
        <f t="shared" si="66"/>
        <v>10148.903225806451</v>
      </c>
      <c r="Z260" s="68"/>
      <c r="AA260" s="68">
        <f t="shared" si="67"/>
        <v>10148.903225806451</v>
      </c>
      <c r="AB260" s="69">
        <f t="shared" si="68"/>
        <v>636.29032258064512</v>
      </c>
      <c r="AC260" s="69">
        <f t="shared" si="83"/>
        <v>520</v>
      </c>
      <c r="AD260" s="70">
        <f t="shared" si="70"/>
        <v>36</v>
      </c>
      <c r="AE260" s="71">
        <f t="shared" si="71"/>
        <v>1192.2903225806451</v>
      </c>
      <c r="AF260" s="71">
        <f t="shared" si="72"/>
        <v>12125.838709677419</v>
      </c>
    </row>
    <row r="261" spans="1:32" x14ac:dyDescent="0.2">
      <c r="A261" s="64" t="s">
        <v>1587</v>
      </c>
      <c r="B261" s="65">
        <v>256</v>
      </c>
      <c r="C261" s="65" t="s">
        <v>1460</v>
      </c>
      <c r="D261" s="64" t="s">
        <v>1587</v>
      </c>
      <c r="E261" s="66" t="s">
        <v>50</v>
      </c>
      <c r="F261" s="65" t="s">
        <v>234</v>
      </c>
      <c r="G261" s="67">
        <v>43075</v>
      </c>
      <c r="H261" s="67"/>
      <c r="I261" s="65">
        <v>30</v>
      </c>
      <c r="J261" s="68">
        <f t="shared" si="84"/>
        <v>4838.7096774193542</v>
      </c>
      <c r="K261" s="68">
        <f t="shared" si="61"/>
        <v>0</v>
      </c>
      <c r="L261" s="68">
        <f t="shared" si="62"/>
        <v>241.93548387096772</v>
      </c>
      <c r="M261" s="68"/>
      <c r="N261" s="68">
        <f t="shared" si="85"/>
        <v>774.19354838709671</v>
      </c>
      <c r="O261" s="68"/>
      <c r="P261" s="68">
        <f t="shared" si="86"/>
        <v>5078.7096774193542</v>
      </c>
      <c r="Q261" s="68">
        <v>0</v>
      </c>
      <c r="R261" s="68">
        <v>0</v>
      </c>
      <c r="S261" s="68">
        <f t="shared" si="63"/>
        <v>10933.548387096773</v>
      </c>
      <c r="T261" s="69">
        <f t="shared" si="64"/>
        <v>580.64516129032245</v>
      </c>
      <c r="U261" s="69">
        <f t="shared" si="82"/>
        <v>192</v>
      </c>
      <c r="V261" s="68">
        <v>0</v>
      </c>
      <c r="W261" s="68">
        <v>12</v>
      </c>
      <c r="X261" s="68">
        <f t="shared" si="65"/>
        <v>784.64516129032245</v>
      </c>
      <c r="Y261" s="68">
        <f t="shared" si="66"/>
        <v>10148.903225806451</v>
      </c>
      <c r="Z261" s="68"/>
      <c r="AA261" s="68">
        <f t="shared" si="67"/>
        <v>10148.903225806451</v>
      </c>
      <c r="AB261" s="69">
        <f t="shared" si="68"/>
        <v>636.29032258064512</v>
      </c>
      <c r="AC261" s="69">
        <f t="shared" si="83"/>
        <v>520</v>
      </c>
      <c r="AD261" s="70">
        <f t="shared" si="70"/>
        <v>36</v>
      </c>
      <c r="AE261" s="71">
        <f t="shared" si="71"/>
        <v>1192.2903225806451</v>
      </c>
      <c r="AF261" s="71">
        <f t="shared" si="72"/>
        <v>12125.838709677419</v>
      </c>
    </row>
    <row r="262" spans="1:32" x14ac:dyDescent="0.2">
      <c r="A262" s="64" t="s">
        <v>1588</v>
      </c>
      <c r="B262" s="65">
        <v>257</v>
      </c>
      <c r="C262" s="65" t="s">
        <v>1461</v>
      </c>
      <c r="D262" s="64" t="s">
        <v>1588</v>
      </c>
      <c r="E262" s="66" t="s">
        <v>50</v>
      </c>
      <c r="F262" s="65" t="s">
        <v>234</v>
      </c>
      <c r="G262" s="67">
        <v>43075</v>
      </c>
      <c r="H262" s="67"/>
      <c r="I262" s="65">
        <v>5</v>
      </c>
      <c r="J262" s="68">
        <f t="shared" si="84"/>
        <v>806.45161290322574</v>
      </c>
      <c r="K262" s="68">
        <f t="shared" ref="K262:K303" si="87">((0)/I$3)*I262</f>
        <v>0</v>
      </c>
      <c r="L262" s="68">
        <f t="shared" ref="L262:L303" si="88">(J262+K262)*5%</f>
        <v>40.322580645161288</v>
      </c>
      <c r="M262" s="68"/>
      <c r="N262" s="68">
        <f t="shared" si="85"/>
        <v>129.03225806451613</v>
      </c>
      <c r="O262" s="68"/>
      <c r="P262" s="68">
        <f t="shared" si="86"/>
        <v>846.45161290322574</v>
      </c>
      <c r="Q262" s="68">
        <v>0</v>
      </c>
      <c r="R262" s="68">
        <v>0</v>
      </c>
      <c r="S262" s="68">
        <f t="shared" ref="S262:S303" si="89">SUM(J262:R262)</f>
        <v>1822.2580645161288</v>
      </c>
      <c r="T262" s="69">
        <f t="shared" ref="T262:T303" si="90">(J262+K262)*12%</f>
        <v>96.774193548387089</v>
      </c>
      <c r="U262" s="69">
        <f t="shared" si="82"/>
        <v>32</v>
      </c>
      <c r="V262" s="68">
        <v>0</v>
      </c>
      <c r="W262" s="68">
        <v>12</v>
      </c>
      <c r="X262" s="68">
        <f t="shared" ref="X262:X303" si="91">SUM(T262:W262)</f>
        <v>140.77419354838707</v>
      </c>
      <c r="Y262" s="68">
        <f t="shared" ref="Y262:Y303" si="92">S262-X262</f>
        <v>1681.4838709677417</v>
      </c>
      <c r="Z262" s="68"/>
      <c r="AA262" s="68">
        <f t="shared" ref="AA262:AA303" si="93">Y262-Z262</f>
        <v>1681.4838709677417</v>
      </c>
      <c r="AB262" s="69">
        <f t="shared" ref="AB262:AB303" si="94">(J262+K262)*13.15%</f>
        <v>106.04838709677419</v>
      </c>
      <c r="AC262" s="69">
        <f t="shared" si="83"/>
        <v>87</v>
      </c>
      <c r="AD262" s="70">
        <f t="shared" ref="AD262:AD303" si="95">W262*3</f>
        <v>36</v>
      </c>
      <c r="AE262" s="71">
        <f t="shared" ref="AE262:AE303" si="96">SUM(AB262:AD262)</f>
        <v>229.04838709677421</v>
      </c>
      <c r="AF262" s="71">
        <f t="shared" ref="AF262:AF303" si="97">S262+AE262</f>
        <v>2051.3064516129029</v>
      </c>
    </row>
    <row r="263" spans="1:32" x14ac:dyDescent="0.2">
      <c r="A263" s="64" t="s">
        <v>1589</v>
      </c>
      <c r="B263" s="65">
        <v>258</v>
      </c>
      <c r="C263" s="65" t="s">
        <v>1462</v>
      </c>
      <c r="D263" s="64" t="s">
        <v>1589</v>
      </c>
      <c r="E263" s="66" t="s">
        <v>50</v>
      </c>
      <c r="F263" s="65" t="s">
        <v>234</v>
      </c>
      <c r="G263" s="67">
        <v>43075</v>
      </c>
      <c r="H263" s="67"/>
      <c r="I263" s="65">
        <v>26</v>
      </c>
      <c r="J263" s="68">
        <f t="shared" si="84"/>
        <v>4193.5483870967737</v>
      </c>
      <c r="K263" s="68">
        <f t="shared" si="87"/>
        <v>0</v>
      </c>
      <c r="L263" s="68">
        <f t="shared" si="88"/>
        <v>209.67741935483869</v>
      </c>
      <c r="M263" s="68"/>
      <c r="N263" s="68">
        <f t="shared" si="85"/>
        <v>670.96774193548379</v>
      </c>
      <c r="O263" s="68"/>
      <c r="P263" s="68">
        <f t="shared" si="86"/>
        <v>4401.5483870967737</v>
      </c>
      <c r="Q263" s="68">
        <v>0</v>
      </c>
      <c r="R263" s="68">
        <v>0</v>
      </c>
      <c r="S263" s="68">
        <f t="shared" si="89"/>
        <v>9475.7419354838712</v>
      </c>
      <c r="T263" s="69">
        <f t="shared" si="90"/>
        <v>503.22580645161281</v>
      </c>
      <c r="U263" s="69">
        <f t="shared" si="82"/>
        <v>166</v>
      </c>
      <c r="V263" s="68">
        <v>0</v>
      </c>
      <c r="W263" s="68">
        <v>12</v>
      </c>
      <c r="X263" s="68">
        <f t="shared" si="91"/>
        <v>681.22580645161281</v>
      </c>
      <c r="Y263" s="68">
        <f t="shared" si="92"/>
        <v>8794.5161290322576</v>
      </c>
      <c r="Z263" s="68"/>
      <c r="AA263" s="68">
        <f t="shared" si="93"/>
        <v>8794.5161290322576</v>
      </c>
      <c r="AB263" s="69">
        <f t="shared" si="94"/>
        <v>551.45161290322574</v>
      </c>
      <c r="AC263" s="69">
        <f t="shared" si="83"/>
        <v>451</v>
      </c>
      <c r="AD263" s="70">
        <f t="shared" si="95"/>
        <v>36</v>
      </c>
      <c r="AE263" s="71">
        <f t="shared" si="96"/>
        <v>1038.4516129032259</v>
      </c>
      <c r="AF263" s="71">
        <f t="shared" si="97"/>
        <v>10514.193548387097</v>
      </c>
    </row>
    <row r="264" spans="1:32" x14ac:dyDescent="0.2">
      <c r="A264" s="64" t="s">
        <v>1590</v>
      </c>
      <c r="B264" s="65">
        <v>259</v>
      </c>
      <c r="C264" s="65" t="s">
        <v>1463</v>
      </c>
      <c r="D264" s="64" t="s">
        <v>1590</v>
      </c>
      <c r="E264" s="66" t="s">
        <v>50</v>
      </c>
      <c r="F264" s="65" t="s">
        <v>234</v>
      </c>
      <c r="G264" s="67">
        <v>43075</v>
      </c>
      <c r="H264" s="67"/>
      <c r="I264" s="65">
        <v>29</v>
      </c>
      <c r="J264" s="68">
        <f t="shared" si="84"/>
        <v>4677.4193548387093</v>
      </c>
      <c r="K264" s="68">
        <f t="shared" si="87"/>
        <v>0</v>
      </c>
      <c r="L264" s="68">
        <f t="shared" si="88"/>
        <v>233.87096774193549</v>
      </c>
      <c r="M264" s="68"/>
      <c r="N264" s="68">
        <f t="shared" si="85"/>
        <v>748.38709677419354</v>
      </c>
      <c r="O264" s="68"/>
      <c r="P264" s="68">
        <f t="shared" si="86"/>
        <v>4909.4193548387093</v>
      </c>
      <c r="Q264" s="68">
        <v>0</v>
      </c>
      <c r="R264" s="68">
        <v>0</v>
      </c>
      <c r="S264" s="68">
        <f t="shared" si="89"/>
        <v>10569.096774193547</v>
      </c>
      <c r="T264" s="69">
        <f t="shared" si="90"/>
        <v>561.29032258064512</v>
      </c>
      <c r="U264" s="69">
        <f t="shared" si="82"/>
        <v>185</v>
      </c>
      <c r="V264" s="68">
        <v>0</v>
      </c>
      <c r="W264" s="68">
        <v>12</v>
      </c>
      <c r="X264" s="68">
        <f t="shared" si="91"/>
        <v>758.29032258064512</v>
      </c>
      <c r="Y264" s="68">
        <f t="shared" si="92"/>
        <v>9810.8064516129016</v>
      </c>
      <c r="Z264" s="68"/>
      <c r="AA264" s="68">
        <f t="shared" si="93"/>
        <v>9810.8064516129016</v>
      </c>
      <c r="AB264" s="69">
        <f t="shared" si="94"/>
        <v>615.08064516129025</v>
      </c>
      <c r="AC264" s="69">
        <f t="shared" si="83"/>
        <v>503</v>
      </c>
      <c r="AD264" s="70">
        <f t="shared" si="95"/>
        <v>36</v>
      </c>
      <c r="AE264" s="71">
        <f t="shared" si="96"/>
        <v>1154.0806451612902</v>
      </c>
      <c r="AF264" s="71">
        <f t="shared" si="97"/>
        <v>11723.177419354837</v>
      </c>
    </row>
    <row r="265" spans="1:32" x14ac:dyDescent="0.2">
      <c r="A265" s="64" t="s">
        <v>1591</v>
      </c>
      <c r="B265" s="65">
        <v>260</v>
      </c>
      <c r="C265" s="65" t="s">
        <v>1464</v>
      </c>
      <c r="D265" s="64" t="s">
        <v>1591</v>
      </c>
      <c r="E265" s="66" t="s">
        <v>50</v>
      </c>
      <c r="F265" s="65" t="s">
        <v>234</v>
      </c>
      <c r="G265" s="67">
        <v>43075</v>
      </c>
      <c r="H265" s="67"/>
      <c r="I265" s="65">
        <v>29</v>
      </c>
      <c r="J265" s="68">
        <f t="shared" si="84"/>
        <v>4677.4193548387093</v>
      </c>
      <c r="K265" s="68">
        <f t="shared" si="87"/>
        <v>0</v>
      </c>
      <c r="L265" s="68">
        <f t="shared" si="88"/>
        <v>233.87096774193549</v>
      </c>
      <c r="M265" s="68"/>
      <c r="N265" s="68">
        <f t="shared" si="85"/>
        <v>748.38709677419354</v>
      </c>
      <c r="O265" s="68"/>
      <c r="P265" s="68">
        <f t="shared" si="86"/>
        <v>4909.4193548387093</v>
      </c>
      <c r="Q265" s="68">
        <v>0</v>
      </c>
      <c r="R265" s="68">
        <v>0</v>
      </c>
      <c r="S265" s="68">
        <f t="shared" si="89"/>
        <v>10569.096774193547</v>
      </c>
      <c r="T265" s="69">
        <f t="shared" si="90"/>
        <v>561.29032258064512</v>
      </c>
      <c r="U265" s="69">
        <f t="shared" si="82"/>
        <v>185</v>
      </c>
      <c r="V265" s="68">
        <v>0</v>
      </c>
      <c r="W265" s="68">
        <v>12</v>
      </c>
      <c r="X265" s="68">
        <f t="shared" si="91"/>
        <v>758.29032258064512</v>
      </c>
      <c r="Y265" s="68">
        <f t="shared" si="92"/>
        <v>9810.8064516129016</v>
      </c>
      <c r="Z265" s="68"/>
      <c r="AA265" s="68">
        <f t="shared" si="93"/>
        <v>9810.8064516129016</v>
      </c>
      <c r="AB265" s="69">
        <f t="shared" si="94"/>
        <v>615.08064516129025</v>
      </c>
      <c r="AC265" s="69">
        <f t="shared" si="83"/>
        <v>503</v>
      </c>
      <c r="AD265" s="70">
        <f t="shared" si="95"/>
        <v>36</v>
      </c>
      <c r="AE265" s="71">
        <f t="shared" si="96"/>
        <v>1154.0806451612902</v>
      </c>
      <c r="AF265" s="71">
        <f t="shared" si="97"/>
        <v>11723.177419354837</v>
      </c>
    </row>
    <row r="266" spans="1:32" x14ac:dyDescent="0.2">
      <c r="A266" s="64" t="s">
        <v>1592</v>
      </c>
      <c r="B266" s="65">
        <v>261</v>
      </c>
      <c r="C266" s="65" t="s">
        <v>1465</v>
      </c>
      <c r="D266" s="64" t="s">
        <v>1592</v>
      </c>
      <c r="E266" s="66" t="s">
        <v>50</v>
      </c>
      <c r="F266" s="65" t="s">
        <v>234</v>
      </c>
      <c r="G266" s="67">
        <v>43075</v>
      </c>
      <c r="H266" s="67"/>
      <c r="I266" s="65">
        <v>29</v>
      </c>
      <c r="J266" s="68">
        <f t="shared" si="84"/>
        <v>4677.4193548387093</v>
      </c>
      <c r="K266" s="68">
        <f t="shared" si="87"/>
        <v>0</v>
      </c>
      <c r="L266" s="68">
        <f t="shared" si="88"/>
        <v>233.87096774193549</v>
      </c>
      <c r="M266" s="68"/>
      <c r="N266" s="68">
        <f t="shared" si="85"/>
        <v>748.38709677419354</v>
      </c>
      <c r="O266" s="68"/>
      <c r="P266" s="68">
        <f t="shared" si="86"/>
        <v>4909.4193548387093</v>
      </c>
      <c r="Q266" s="68">
        <v>0</v>
      </c>
      <c r="R266" s="68">
        <v>0</v>
      </c>
      <c r="S266" s="68">
        <f t="shared" si="89"/>
        <v>10569.096774193547</v>
      </c>
      <c r="T266" s="69">
        <f t="shared" si="90"/>
        <v>561.29032258064512</v>
      </c>
      <c r="U266" s="69">
        <f t="shared" si="82"/>
        <v>185</v>
      </c>
      <c r="V266" s="68">
        <v>0</v>
      </c>
      <c r="W266" s="68">
        <v>12</v>
      </c>
      <c r="X266" s="68">
        <f t="shared" si="91"/>
        <v>758.29032258064512</v>
      </c>
      <c r="Y266" s="68">
        <f t="shared" si="92"/>
        <v>9810.8064516129016</v>
      </c>
      <c r="Z266" s="68"/>
      <c r="AA266" s="68">
        <f t="shared" si="93"/>
        <v>9810.8064516129016</v>
      </c>
      <c r="AB266" s="69">
        <f t="shared" si="94"/>
        <v>615.08064516129025</v>
      </c>
      <c r="AC266" s="69">
        <f t="shared" si="83"/>
        <v>503</v>
      </c>
      <c r="AD266" s="70">
        <f t="shared" si="95"/>
        <v>36</v>
      </c>
      <c r="AE266" s="71">
        <f t="shared" si="96"/>
        <v>1154.0806451612902</v>
      </c>
      <c r="AF266" s="71">
        <f t="shared" si="97"/>
        <v>11723.177419354837</v>
      </c>
    </row>
    <row r="267" spans="1:32" x14ac:dyDescent="0.2">
      <c r="A267" s="64" t="s">
        <v>1593</v>
      </c>
      <c r="B267" s="65">
        <v>262</v>
      </c>
      <c r="C267" s="65" t="s">
        <v>1453</v>
      </c>
      <c r="D267" s="64" t="s">
        <v>1593</v>
      </c>
      <c r="E267" s="66" t="s">
        <v>50</v>
      </c>
      <c r="F267" s="65" t="s">
        <v>234</v>
      </c>
      <c r="G267" s="67">
        <v>43075</v>
      </c>
      <c r="H267" s="67"/>
      <c r="I267" s="65">
        <v>29</v>
      </c>
      <c r="J267" s="68">
        <f t="shared" si="84"/>
        <v>4677.4193548387093</v>
      </c>
      <c r="K267" s="68">
        <f t="shared" si="87"/>
        <v>0</v>
      </c>
      <c r="L267" s="68">
        <f t="shared" si="88"/>
        <v>233.87096774193549</v>
      </c>
      <c r="M267" s="68"/>
      <c r="N267" s="68">
        <f t="shared" si="85"/>
        <v>748.38709677419354</v>
      </c>
      <c r="O267" s="68"/>
      <c r="P267" s="68">
        <f t="shared" si="86"/>
        <v>4909.4193548387093</v>
      </c>
      <c r="Q267" s="68">
        <v>0</v>
      </c>
      <c r="R267" s="68">
        <v>0</v>
      </c>
      <c r="S267" s="68">
        <f t="shared" si="89"/>
        <v>10569.096774193547</v>
      </c>
      <c r="T267" s="69">
        <f t="shared" si="90"/>
        <v>561.29032258064512</v>
      </c>
      <c r="U267" s="69">
        <f t="shared" si="82"/>
        <v>185</v>
      </c>
      <c r="V267" s="68">
        <v>0</v>
      </c>
      <c r="W267" s="68">
        <v>12</v>
      </c>
      <c r="X267" s="68">
        <f t="shared" si="91"/>
        <v>758.29032258064512</v>
      </c>
      <c r="Y267" s="68">
        <f t="shared" si="92"/>
        <v>9810.8064516129016</v>
      </c>
      <c r="Z267" s="68"/>
      <c r="AA267" s="68">
        <f t="shared" si="93"/>
        <v>9810.8064516129016</v>
      </c>
      <c r="AB267" s="69">
        <f t="shared" si="94"/>
        <v>615.08064516129025</v>
      </c>
      <c r="AC267" s="69">
        <f t="shared" si="83"/>
        <v>503</v>
      </c>
      <c r="AD267" s="70">
        <f t="shared" si="95"/>
        <v>36</v>
      </c>
      <c r="AE267" s="71">
        <f t="shared" si="96"/>
        <v>1154.0806451612902</v>
      </c>
      <c r="AF267" s="71">
        <f t="shared" si="97"/>
        <v>11723.177419354837</v>
      </c>
    </row>
    <row r="268" spans="1:32" x14ac:dyDescent="0.2">
      <c r="A268" s="64" t="s">
        <v>1594</v>
      </c>
      <c r="B268" s="65">
        <v>263</v>
      </c>
      <c r="C268" s="65" t="s">
        <v>1466</v>
      </c>
      <c r="D268" s="64" t="s">
        <v>1594</v>
      </c>
      <c r="E268" s="66" t="s">
        <v>50</v>
      </c>
      <c r="F268" s="65" t="s">
        <v>234</v>
      </c>
      <c r="G268" s="67">
        <v>43075</v>
      </c>
      <c r="H268" s="67"/>
      <c r="I268" s="65">
        <v>30</v>
      </c>
      <c r="J268" s="68">
        <f t="shared" si="84"/>
        <v>4838.7096774193542</v>
      </c>
      <c r="K268" s="68">
        <f t="shared" si="87"/>
        <v>0</v>
      </c>
      <c r="L268" s="68">
        <f t="shared" si="88"/>
        <v>241.93548387096772</v>
      </c>
      <c r="M268" s="68"/>
      <c r="N268" s="68">
        <f t="shared" si="85"/>
        <v>774.19354838709671</v>
      </c>
      <c r="O268" s="68"/>
      <c r="P268" s="68">
        <f t="shared" si="86"/>
        <v>5078.7096774193542</v>
      </c>
      <c r="Q268" s="68">
        <v>0</v>
      </c>
      <c r="R268" s="68">
        <v>0</v>
      </c>
      <c r="S268" s="68">
        <f t="shared" si="89"/>
        <v>10933.548387096773</v>
      </c>
      <c r="T268" s="69">
        <f t="shared" si="90"/>
        <v>580.64516129032245</v>
      </c>
      <c r="U268" s="69">
        <f t="shared" si="82"/>
        <v>192</v>
      </c>
      <c r="V268" s="68">
        <v>0</v>
      </c>
      <c r="W268" s="68">
        <v>12</v>
      </c>
      <c r="X268" s="68">
        <f t="shared" si="91"/>
        <v>784.64516129032245</v>
      </c>
      <c r="Y268" s="68">
        <f t="shared" si="92"/>
        <v>10148.903225806451</v>
      </c>
      <c r="Z268" s="68"/>
      <c r="AA268" s="68">
        <f t="shared" si="93"/>
        <v>10148.903225806451</v>
      </c>
      <c r="AB268" s="69">
        <f t="shared" si="94"/>
        <v>636.29032258064512</v>
      </c>
      <c r="AC268" s="69">
        <f t="shared" si="83"/>
        <v>520</v>
      </c>
      <c r="AD268" s="70">
        <f t="shared" si="95"/>
        <v>36</v>
      </c>
      <c r="AE268" s="71">
        <f t="shared" si="96"/>
        <v>1192.2903225806451</v>
      </c>
      <c r="AF268" s="71">
        <f t="shared" si="97"/>
        <v>12125.838709677419</v>
      </c>
    </row>
    <row r="269" spans="1:32" x14ac:dyDescent="0.2">
      <c r="A269" s="64" t="s">
        <v>1595</v>
      </c>
      <c r="B269" s="65">
        <v>264</v>
      </c>
      <c r="C269" s="65" t="s">
        <v>391</v>
      </c>
      <c r="D269" s="64" t="s">
        <v>1595</v>
      </c>
      <c r="E269" s="66" t="s">
        <v>50</v>
      </c>
      <c r="F269" s="65" t="s">
        <v>234</v>
      </c>
      <c r="G269" s="67">
        <v>43077</v>
      </c>
      <c r="H269" s="67"/>
      <c r="I269" s="65">
        <v>28</v>
      </c>
      <c r="J269" s="68">
        <f t="shared" si="84"/>
        <v>4516.1290322580644</v>
      </c>
      <c r="K269" s="68">
        <f t="shared" si="87"/>
        <v>0</v>
      </c>
      <c r="L269" s="68">
        <f t="shared" si="88"/>
        <v>225.80645161290323</v>
      </c>
      <c r="M269" s="68"/>
      <c r="N269" s="68">
        <f t="shared" si="85"/>
        <v>722.58064516129025</v>
      </c>
      <c r="O269" s="68"/>
      <c r="P269" s="68">
        <f t="shared" si="86"/>
        <v>4740.1290322580644</v>
      </c>
      <c r="Q269" s="68">
        <v>0</v>
      </c>
      <c r="R269" s="68">
        <v>0</v>
      </c>
      <c r="S269" s="68">
        <f t="shared" si="89"/>
        <v>10204.645161290322</v>
      </c>
      <c r="T269" s="69">
        <f t="shared" si="90"/>
        <v>541.93548387096769</v>
      </c>
      <c r="U269" s="69">
        <f t="shared" si="82"/>
        <v>179</v>
      </c>
      <c r="V269" s="68">
        <v>0</v>
      </c>
      <c r="W269" s="68">
        <v>12</v>
      </c>
      <c r="X269" s="68">
        <f t="shared" si="91"/>
        <v>732.93548387096769</v>
      </c>
      <c r="Y269" s="68">
        <f t="shared" si="92"/>
        <v>9471.7096774193542</v>
      </c>
      <c r="Z269" s="68"/>
      <c r="AA269" s="68">
        <f t="shared" si="93"/>
        <v>9471.7096774193542</v>
      </c>
      <c r="AB269" s="69">
        <f t="shared" si="94"/>
        <v>593.87096774193549</v>
      </c>
      <c r="AC269" s="69">
        <f t="shared" si="83"/>
        <v>485</v>
      </c>
      <c r="AD269" s="70">
        <f t="shared" si="95"/>
        <v>36</v>
      </c>
      <c r="AE269" s="71">
        <f t="shared" si="96"/>
        <v>1114.8709677419356</v>
      </c>
      <c r="AF269" s="71">
        <f t="shared" si="97"/>
        <v>11319.516129032258</v>
      </c>
    </row>
    <row r="270" spans="1:32" x14ac:dyDescent="0.2">
      <c r="A270" s="64" t="s">
        <v>1596</v>
      </c>
      <c r="B270" s="65">
        <v>265</v>
      </c>
      <c r="C270" s="65" t="s">
        <v>1467</v>
      </c>
      <c r="D270" s="64" t="s">
        <v>1596</v>
      </c>
      <c r="E270" s="66" t="s">
        <v>50</v>
      </c>
      <c r="F270" s="65" t="s">
        <v>234</v>
      </c>
      <c r="G270" s="67">
        <v>43075</v>
      </c>
      <c r="H270" s="67"/>
      <c r="I270" s="65">
        <v>29</v>
      </c>
      <c r="J270" s="68">
        <f t="shared" si="84"/>
        <v>4677.4193548387093</v>
      </c>
      <c r="K270" s="68">
        <f t="shared" si="87"/>
        <v>0</v>
      </c>
      <c r="L270" s="68">
        <f t="shared" si="88"/>
        <v>233.87096774193549</v>
      </c>
      <c r="M270" s="68"/>
      <c r="N270" s="68">
        <f t="shared" si="85"/>
        <v>748.38709677419354</v>
      </c>
      <c r="O270" s="68"/>
      <c r="P270" s="68">
        <f t="shared" si="86"/>
        <v>4909.4193548387093</v>
      </c>
      <c r="Q270" s="68">
        <v>0</v>
      </c>
      <c r="R270" s="68">
        <v>0</v>
      </c>
      <c r="S270" s="68">
        <f t="shared" si="89"/>
        <v>10569.096774193547</v>
      </c>
      <c r="T270" s="69">
        <f t="shared" si="90"/>
        <v>561.29032258064512</v>
      </c>
      <c r="U270" s="69">
        <f t="shared" si="82"/>
        <v>185</v>
      </c>
      <c r="V270" s="68">
        <v>0</v>
      </c>
      <c r="W270" s="68">
        <v>12</v>
      </c>
      <c r="X270" s="68">
        <f t="shared" si="91"/>
        <v>758.29032258064512</v>
      </c>
      <c r="Y270" s="68">
        <f t="shared" si="92"/>
        <v>9810.8064516129016</v>
      </c>
      <c r="Z270" s="68"/>
      <c r="AA270" s="68">
        <f t="shared" si="93"/>
        <v>9810.8064516129016</v>
      </c>
      <c r="AB270" s="69">
        <f t="shared" si="94"/>
        <v>615.08064516129025</v>
      </c>
      <c r="AC270" s="69">
        <f t="shared" si="83"/>
        <v>503</v>
      </c>
      <c r="AD270" s="70">
        <f t="shared" si="95"/>
        <v>36</v>
      </c>
      <c r="AE270" s="71">
        <f t="shared" si="96"/>
        <v>1154.0806451612902</v>
      </c>
      <c r="AF270" s="71">
        <f t="shared" si="97"/>
        <v>11723.177419354837</v>
      </c>
    </row>
    <row r="271" spans="1:32" x14ac:dyDescent="0.2">
      <c r="A271" s="64" t="s">
        <v>1597</v>
      </c>
      <c r="B271" s="65">
        <v>266</v>
      </c>
      <c r="C271" s="65" t="s">
        <v>1468</v>
      </c>
      <c r="D271" s="64" t="s">
        <v>1597</v>
      </c>
      <c r="E271" s="66" t="s">
        <v>50</v>
      </c>
      <c r="F271" s="65" t="s">
        <v>234</v>
      </c>
      <c r="G271" s="67">
        <v>43075</v>
      </c>
      <c r="H271" s="67"/>
      <c r="I271" s="65">
        <v>27.5</v>
      </c>
      <c r="J271" s="68">
        <f t="shared" si="84"/>
        <v>4435.4838709677415</v>
      </c>
      <c r="K271" s="68">
        <f t="shared" si="87"/>
        <v>0</v>
      </c>
      <c r="L271" s="68">
        <f t="shared" si="88"/>
        <v>221.77419354838707</v>
      </c>
      <c r="M271" s="68"/>
      <c r="N271" s="68">
        <f t="shared" si="85"/>
        <v>709.67741935483866</v>
      </c>
      <c r="O271" s="68"/>
      <c r="P271" s="68">
        <f t="shared" si="86"/>
        <v>4655.4838709677415</v>
      </c>
      <c r="Q271" s="68">
        <v>0</v>
      </c>
      <c r="R271" s="68">
        <v>0</v>
      </c>
      <c r="S271" s="68">
        <f t="shared" si="89"/>
        <v>10022.419354838708</v>
      </c>
      <c r="T271" s="69">
        <f t="shared" si="90"/>
        <v>532.25806451612891</v>
      </c>
      <c r="U271" s="69">
        <f t="shared" si="82"/>
        <v>176</v>
      </c>
      <c r="V271" s="68">
        <v>0</v>
      </c>
      <c r="W271" s="68">
        <v>12</v>
      </c>
      <c r="X271" s="68">
        <f t="shared" si="91"/>
        <v>720.25806451612891</v>
      </c>
      <c r="Y271" s="68">
        <f t="shared" si="92"/>
        <v>9302.1612903225796</v>
      </c>
      <c r="Z271" s="68"/>
      <c r="AA271" s="68">
        <f t="shared" si="93"/>
        <v>9302.1612903225796</v>
      </c>
      <c r="AB271" s="69">
        <f t="shared" si="94"/>
        <v>583.26612903225805</v>
      </c>
      <c r="AC271" s="69">
        <f t="shared" si="83"/>
        <v>477</v>
      </c>
      <c r="AD271" s="70">
        <f t="shared" si="95"/>
        <v>36</v>
      </c>
      <c r="AE271" s="71">
        <f t="shared" si="96"/>
        <v>1096.266129032258</v>
      </c>
      <c r="AF271" s="71">
        <f t="shared" si="97"/>
        <v>11118.685483870966</v>
      </c>
    </row>
    <row r="272" spans="1:32" x14ac:dyDescent="0.2">
      <c r="A272" s="64" t="s">
        <v>1598</v>
      </c>
      <c r="B272" s="65">
        <v>267</v>
      </c>
      <c r="C272" s="65" t="s">
        <v>1469</v>
      </c>
      <c r="D272" s="64" t="s">
        <v>1598</v>
      </c>
      <c r="E272" s="66" t="s">
        <v>50</v>
      </c>
      <c r="F272" s="65" t="s">
        <v>234</v>
      </c>
      <c r="G272" s="67">
        <v>43076</v>
      </c>
      <c r="H272" s="67"/>
      <c r="I272" s="65">
        <v>29</v>
      </c>
      <c r="J272" s="68">
        <f t="shared" si="84"/>
        <v>4677.4193548387093</v>
      </c>
      <c r="K272" s="68">
        <f t="shared" si="87"/>
        <v>0</v>
      </c>
      <c r="L272" s="68">
        <f t="shared" si="88"/>
        <v>233.87096774193549</v>
      </c>
      <c r="M272" s="68"/>
      <c r="N272" s="68">
        <f t="shared" si="85"/>
        <v>748.38709677419354</v>
      </c>
      <c r="O272" s="68"/>
      <c r="P272" s="68">
        <f t="shared" si="86"/>
        <v>4909.4193548387093</v>
      </c>
      <c r="Q272" s="68">
        <v>0</v>
      </c>
      <c r="R272" s="68">
        <v>0</v>
      </c>
      <c r="S272" s="68">
        <f t="shared" si="89"/>
        <v>10569.096774193547</v>
      </c>
      <c r="T272" s="69">
        <f t="shared" si="90"/>
        <v>561.29032258064512</v>
      </c>
      <c r="U272" s="69">
        <f t="shared" ref="U272:U303" si="98">ROUNDUP((S272*1.75%),0)</f>
        <v>185</v>
      </c>
      <c r="V272" s="68">
        <v>0</v>
      </c>
      <c r="W272" s="68">
        <v>12</v>
      </c>
      <c r="X272" s="68">
        <f t="shared" si="91"/>
        <v>758.29032258064512</v>
      </c>
      <c r="Y272" s="68">
        <f t="shared" si="92"/>
        <v>9810.8064516129016</v>
      </c>
      <c r="Z272" s="68"/>
      <c r="AA272" s="68">
        <f t="shared" si="93"/>
        <v>9810.8064516129016</v>
      </c>
      <c r="AB272" s="69">
        <f t="shared" si="94"/>
        <v>615.08064516129025</v>
      </c>
      <c r="AC272" s="69">
        <f t="shared" ref="AC272:AC303" si="99">CEILING((S272)*4.75%,1)</f>
        <v>503</v>
      </c>
      <c r="AD272" s="70">
        <f t="shared" si="95"/>
        <v>36</v>
      </c>
      <c r="AE272" s="71">
        <f t="shared" si="96"/>
        <v>1154.0806451612902</v>
      </c>
      <c r="AF272" s="71">
        <f t="shared" si="97"/>
        <v>11723.177419354837</v>
      </c>
    </row>
    <row r="273" spans="1:32" x14ac:dyDescent="0.2">
      <c r="A273" s="64" t="s">
        <v>1599</v>
      </c>
      <c r="B273" s="65">
        <v>268</v>
      </c>
      <c r="C273" s="65" t="s">
        <v>1470</v>
      </c>
      <c r="D273" s="64" t="s">
        <v>1599</v>
      </c>
      <c r="E273" s="66" t="s">
        <v>50</v>
      </c>
      <c r="F273" s="65" t="s">
        <v>234</v>
      </c>
      <c r="G273" s="67">
        <v>43080</v>
      </c>
      <c r="H273" s="67"/>
      <c r="I273" s="65">
        <v>24</v>
      </c>
      <c r="J273" s="68">
        <f t="shared" si="84"/>
        <v>3870.9677419354839</v>
      </c>
      <c r="K273" s="68">
        <f t="shared" si="87"/>
        <v>0</v>
      </c>
      <c r="L273" s="68">
        <f t="shared" si="88"/>
        <v>193.54838709677421</v>
      </c>
      <c r="M273" s="68"/>
      <c r="N273" s="68">
        <f t="shared" si="85"/>
        <v>619.35483870967732</v>
      </c>
      <c r="O273" s="68"/>
      <c r="P273" s="68">
        <f t="shared" si="86"/>
        <v>4062.9677419354839</v>
      </c>
      <c r="Q273" s="68">
        <v>0</v>
      </c>
      <c r="R273" s="68">
        <v>0</v>
      </c>
      <c r="S273" s="68">
        <f t="shared" si="89"/>
        <v>8746.8387096774204</v>
      </c>
      <c r="T273" s="69">
        <f t="shared" si="90"/>
        <v>464.51612903225805</v>
      </c>
      <c r="U273" s="69">
        <f t="shared" si="98"/>
        <v>154</v>
      </c>
      <c r="V273" s="68">
        <v>0</v>
      </c>
      <c r="W273" s="68">
        <v>12</v>
      </c>
      <c r="X273" s="68">
        <f t="shared" si="91"/>
        <v>630.51612903225805</v>
      </c>
      <c r="Y273" s="68">
        <f t="shared" si="92"/>
        <v>8116.3225806451628</v>
      </c>
      <c r="Z273" s="68"/>
      <c r="AA273" s="68">
        <f t="shared" si="93"/>
        <v>8116.3225806451628</v>
      </c>
      <c r="AB273" s="69">
        <f t="shared" si="94"/>
        <v>509.03225806451616</v>
      </c>
      <c r="AC273" s="69">
        <f t="shared" si="99"/>
        <v>416</v>
      </c>
      <c r="AD273" s="70">
        <f t="shared" si="95"/>
        <v>36</v>
      </c>
      <c r="AE273" s="71">
        <f t="shared" si="96"/>
        <v>961.0322580645161</v>
      </c>
      <c r="AF273" s="71">
        <f t="shared" si="97"/>
        <v>9707.8709677419356</v>
      </c>
    </row>
    <row r="274" spans="1:32" x14ac:dyDescent="0.2">
      <c r="A274" s="64" t="s">
        <v>1600</v>
      </c>
      <c r="B274" s="65">
        <v>269</v>
      </c>
      <c r="C274" s="65" t="s">
        <v>1471</v>
      </c>
      <c r="D274" s="64" t="s">
        <v>1600</v>
      </c>
      <c r="E274" s="66" t="s">
        <v>50</v>
      </c>
      <c r="F274" s="65" t="s">
        <v>234</v>
      </c>
      <c r="G274" s="67">
        <v>43075</v>
      </c>
      <c r="H274" s="67"/>
      <c r="I274" s="65">
        <v>27</v>
      </c>
      <c r="J274" s="68">
        <f t="shared" si="84"/>
        <v>4354.8387096774195</v>
      </c>
      <c r="K274" s="68">
        <f t="shared" si="87"/>
        <v>0</v>
      </c>
      <c r="L274" s="68">
        <f t="shared" si="88"/>
        <v>217.74193548387098</v>
      </c>
      <c r="M274" s="68"/>
      <c r="N274" s="68">
        <f t="shared" si="85"/>
        <v>696.77419354838707</v>
      </c>
      <c r="O274" s="68"/>
      <c r="P274" s="68">
        <f t="shared" si="86"/>
        <v>4570.8387096774195</v>
      </c>
      <c r="Q274" s="68">
        <v>0</v>
      </c>
      <c r="R274" s="68">
        <v>0</v>
      </c>
      <c r="S274" s="68">
        <f t="shared" si="89"/>
        <v>9840.1935483870984</v>
      </c>
      <c r="T274" s="69">
        <f t="shared" si="90"/>
        <v>522.58064516129036</v>
      </c>
      <c r="U274" s="69">
        <f t="shared" si="98"/>
        <v>173</v>
      </c>
      <c r="V274" s="68">
        <v>0</v>
      </c>
      <c r="W274" s="68">
        <v>12</v>
      </c>
      <c r="X274" s="68">
        <f t="shared" si="91"/>
        <v>707.58064516129036</v>
      </c>
      <c r="Y274" s="68">
        <f t="shared" si="92"/>
        <v>9132.6129032258086</v>
      </c>
      <c r="Z274" s="68"/>
      <c r="AA274" s="68">
        <f t="shared" si="93"/>
        <v>9132.6129032258086</v>
      </c>
      <c r="AB274" s="69">
        <f t="shared" si="94"/>
        <v>572.66129032258073</v>
      </c>
      <c r="AC274" s="69">
        <f t="shared" si="99"/>
        <v>468</v>
      </c>
      <c r="AD274" s="70">
        <f t="shared" si="95"/>
        <v>36</v>
      </c>
      <c r="AE274" s="71">
        <f t="shared" si="96"/>
        <v>1076.6612903225807</v>
      </c>
      <c r="AF274" s="71">
        <f t="shared" si="97"/>
        <v>10916.85483870968</v>
      </c>
    </row>
    <row r="275" spans="1:32" x14ac:dyDescent="0.2">
      <c r="A275" s="64" t="s">
        <v>1601</v>
      </c>
      <c r="B275" s="65">
        <v>270</v>
      </c>
      <c r="C275" s="65" t="s">
        <v>1472</v>
      </c>
      <c r="D275" s="64" t="s">
        <v>1601</v>
      </c>
      <c r="E275" s="66" t="s">
        <v>50</v>
      </c>
      <c r="F275" s="65" t="s">
        <v>234</v>
      </c>
      <c r="G275" s="67">
        <v>43079</v>
      </c>
      <c r="H275" s="67"/>
      <c r="I275" s="65">
        <v>24</v>
      </c>
      <c r="J275" s="68">
        <f t="shared" si="84"/>
        <v>3870.9677419354839</v>
      </c>
      <c r="K275" s="68">
        <f t="shared" si="87"/>
        <v>0</v>
      </c>
      <c r="L275" s="68">
        <f t="shared" si="88"/>
        <v>193.54838709677421</v>
      </c>
      <c r="M275" s="68"/>
      <c r="N275" s="68">
        <f t="shared" si="85"/>
        <v>619.35483870967732</v>
      </c>
      <c r="O275" s="68"/>
      <c r="P275" s="68">
        <f t="shared" si="86"/>
        <v>4062.9677419354839</v>
      </c>
      <c r="Q275" s="68">
        <v>0</v>
      </c>
      <c r="R275" s="68">
        <v>0</v>
      </c>
      <c r="S275" s="68">
        <f t="shared" si="89"/>
        <v>8746.8387096774204</v>
      </c>
      <c r="T275" s="69">
        <f t="shared" si="90"/>
        <v>464.51612903225805</v>
      </c>
      <c r="U275" s="69">
        <f t="shared" si="98"/>
        <v>154</v>
      </c>
      <c r="V275" s="68">
        <v>0</v>
      </c>
      <c r="W275" s="68">
        <v>12</v>
      </c>
      <c r="X275" s="68">
        <f t="shared" si="91"/>
        <v>630.51612903225805</v>
      </c>
      <c r="Y275" s="68">
        <f t="shared" si="92"/>
        <v>8116.3225806451628</v>
      </c>
      <c r="Z275" s="68"/>
      <c r="AA275" s="68">
        <f t="shared" si="93"/>
        <v>8116.3225806451628</v>
      </c>
      <c r="AB275" s="69">
        <f t="shared" si="94"/>
        <v>509.03225806451616</v>
      </c>
      <c r="AC275" s="69">
        <f t="shared" si="99"/>
        <v>416</v>
      </c>
      <c r="AD275" s="70">
        <f t="shared" si="95"/>
        <v>36</v>
      </c>
      <c r="AE275" s="71">
        <f t="shared" si="96"/>
        <v>961.0322580645161</v>
      </c>
      <c r="AF275" s="71">
        <f t="shared" si="97"/>
        <v>9707.8709677419356</v>
      </c>
    </row>
    <row r="276" spans="1:32" x14ac:dyDescent="0.2">
      <c r="A276" s="64" t="s">
        <v>1602</v>
      </c>
      <c r="B276" s="65">
        <v>271</v>
      </c>
      <c r="C276" s="65" t="s">
        <v>1473</v>
      </c>
      <c r="D276" s="64" t="s">
        <v>1602</v>
      </c>
      <c r="E276" s="66" t="s">
        <v>50</v>
      </c>
      <c r="F276" s="65" t="s">
        <v>234</v>
      </c>
      <c r="G276" s="67">
        <v>43082</v>
      </c>
      <c r="H276" s="67"/>
      <c r="I276" s="65">
        <v>22</v>
      </c>
      <c r="J276" s="68">
        <f t="shared" si="84"/>
        <v>3548.3870967741932</v>
      </c>
      <c r="K276" s="68">
        <f t="shared" si="87"/>
        <v>0</v>
      </c>
      <c r="L276" s="68">
        <f t="shared" si="88"/>
        <v>177.41935483870967</v>
      </c>
      <c r="M276" s="68"/>
      <c r="N276" s="68">
        <f t="shared" si="85"/>
        <v>567.74193548387098</v>
      </c>
      <c r="O276" s="68"/>
      <c r="P276" s="68">
        <f t="shared" si="86"/>
        <v>3724.3870967741932</v>
      </c>
      <c r="Q276" s="68">
        <v>0</v>
      </c>
      <c r="R276" s="68">
        <v>0</v>
      </c>
      <c r="S276" s="68">
        <f t="shared" si="89"/>
        <v>8017.9354838709669</v>
      </c>
      <c r="T276" s="69">
        <f t="shared" si="90"/>
        <v>425.80645161290317</v>
      </c>
      <c r="U276" s="69">
        <f t="shared" si="98"/>
        <v>141</v>
      </c>
      <c r="V276" s="68">
        <v>0</v>
      </c>
      <c r="W276" s="68">
        <v>12</v>
      </c>
      <c r="X276" s="68">
        <f t="shared" si="91"/>
        <v>578.80645161290317</v>
      </c>
      <c r="Y276" s="68">
        <f t="shared" si="92"/>
        <v>7439.1290322580635</v>
      </c>
      <c r="Z276" s="68"/>
      <c r="AA276" s="68">
        <f t="shared" si="93"/>
        <v>7439.1290322580635</v>
      </c>
      <c r="AB276" s="69">
        <f t="shared" si="94"/>
        <v>466.61290322580641</v>
      </c>
      <c r="AC276" s="69">
        <f t="shared" si="99"/>
        <v>381</v>
      </c>
      <c r="AD276" s="70">
        <f t="shared" si="95"/>
        <v>36</v>
      </c>
      <c r="AE276" s="71">
        <f t="shared" si="96"/>
        <v>883.61290322580635</v>
      </c>
      <c r="AF276" s="71">
        <f t="shared" si="97"/>
        <v>8901.5483870967728</v>
      </c>
    </row>
    <row r="277" spans="1:32" x14ac:dyDescent="0.2">
      <c r="A277" s="64" t="s">
        <v>1603</v>
      </c>
      <c r="B277" s="65">
        <v>272</v>
      </c>
      <c r="C277" s="65" t="s">
        <v>1474</v>
      </c>
      <c r="D277" s="64" t="s">
        <v>1603</v>
      </c>
      <c r="E277" s="66" t="s">
        <v>50</v>
      </c>
      <c r="F277" s="65" t="s">
        <v>234</v>
      </c>
      <c r="G277" s="67">
        <v>43082</v>
      </c>
      <c r="H277" s="67"/>
      <c r="I277" s="65">
        <v>22</v>
      </c>
      <c r="J277" s="68">
        <f t="shared" si="84"/>
        <v>3548.3870967741932</v>
      </c>
      <c r="K277" s="68">
        <f t="shared" si="87"/>
        <v>0</v>
      </c>
      <c r="L277" s="68">
        <f t="shared" si="88"/>
        <v>177.41935483870967</v>
      </c>
      <c r="M277" s="68"/>
      <c r="N277" s="68">
        <f t="shared" si="85"/>
        <v>567.74193548387098</v>
      </c>
      <c r="O277" s="68"/>
      <c r="P277" s="68">
        <f t="shared" si="86"/>
        <v>3724.3870967741932</v>
      </c>
      <c r="Q277" s="68">
        <v>0</v>
      </c>
      <c r="R277" s="68">
        <v>0</v>
      </c>
      <c r="S277" s="68">
        <f t="shared" si="89"/>
        <v>8017.9354838709669</v>
      </c>
      <c r="T277" s="69">
        <f t="shared" si="90"/>
        <v>425.80645161290317</v>
      </c>
      <c r="U277" s="69">
        <f t="shared" si="98"/>
        <v>141</v>
      </c>
      <c r="V277" s="68">
        <v>0</v>
      </c>
      <c r="W277" s="68">
        <v>12</v>
      </c>
      <c r="X277" s="68">
        <f t="shared" si="91"/>
        <v>578.80645161290317</v>
      </c>
      <c r="Y277" s="68">
        <f t="shared" si="92"/>
        <v>7439.1290322580635</v>
      </c>
      <c r="Z277" s="68"/>
      <c r="AA277" s="68">
        <f t="shared" si="93"/>
        <v>7439.1290322580635</v>
      </c>
      <c r="AB277" s="69">
        <f t="shared" si="94"/>
        <v>466.61290322580641</v>
      </c>
      <c r="AC277" s="69">
        <f t="shared" si="99"/>
        <v>381</v>
      </c>
      <c r="AD277" s="70">
        <f t="shared" si="95"/>
        <v>36</v>
      </c>
      <c r="AE277" s="71">
        <f t="shared" si="96"/>
        <v>883.61290322580635</v>
      </c>
      <c r="AF277" s="71">
        <f t="shared" si="97"/>
        <v>8901.5483870967728</v>
      </c>
    </row>
    <row r="278" spans="1:32" x14ac:dyDescent="0.2">
      <c r="A278" s="64" t="s">
        <v>1604</v>
      </c>
      <c r="B278" s="65">
        <v>273</v>
      </c>
      <c r="C278" s="65" t="s">
        <v>1475</v>
      </c>
      <c r="D278" s="64" t="s">
        <v>1604</v>
      </c>
      <c r="E278" s="66" t="s">
        <v>50</v>
      </c>
      <c r="F278" s="65" t="s">
        <v>234</v>
      </c>
      <c r="G278" s="67">
        <v>43079</v>
      </c>
      <c r="H278" s="67"/>
      <c r="I278" s="65">
        <v>23</v>
      </c>
      <c r="J278" s="68">
        <f t="shared" si="84"/>
        <v>3709.6774193548385</v>
      </c>
      <c r="K278" s="68">
        <f t="shared" si="87"/>
        <v>0</v>
      </c>
      <c r="L278" s="68">
        <f t="shared" si="88"/>
        <v>185.48387096774195</v>
      </c>
      <c r="M278" s="68"/>
      <c r="N278" s="68">
        <f t="shared" si="85"/>
        <v>593.54838709677415</v>
      </c>
      <c r="O278" s="68"/>
      <c r="P278" s="68">
        <f t="shared" si="86"/>
        <v>3893.6774193548385</v>
      </c>
      <c r="Q278" s="68">
        <v>0</v>
      </c>
      <c r="R278" s="68">
        <v>0</v>
      </c>
      <c r="S278" s="68">
        <f t="shared" si="89"/>
        <v>8382.3870967741932</v>
      </c>
      <c r="T278" s="69">
        <f t="shared" si="90"/>
        <v>445.16129032258061</v>
      </c>
      <c r="U278" s="69">
        <f t="shared" si="98"/>
        <v>147</v>
      </c>
      <c r="V278" s="68">
        <v>0</v>
      </c>
      <c r="W278" s="68">
        <v>12</v>
      </c>
      <c r="X278" s="68">
        <f t="shared" si="91"/>
        <v>604.16129032258061</v>
      </c>
      <c r="Y278" s="68">
        <f t="shared" si="92"/>
        <v>7778.2258064516127</v>
      </c>
      <c r="Z278" s="68"/>
      <c r="AA278" s="68">
        <f t="shared" si="93"/>
        <v>7778.2258064516127</v>
      </c>
      <c r="AB278" s="69">
        <f t="shared" si="94"/>
        <v>487.82258064516128</v>
      </c>
      <c r="AC278" s="69">
        <f t="shared" si="99"/>
        <v>399</v>
      </c>
      <c r="AD278" s="70">
        <f t="shared" si="95"/>
        <v>36</v>
      </c>
      <c r="AE278" s="71">
        <f t="shared" si="96"/>
        <v>922.82258064516122</v>
      </c>
      <c r="AF278" s="71">
        <f t="shared" si="97"/>
        <v>9305.2096774193542</v>
      </c>
    </row>
    <row r="279" spans="1:32" x14ac:dyDescent="0.2">
      <c r="A279" s="64" t="s">
        <v>1605</v>
      </c>
      <c r="B279" s="65">
        <v>274</v>
      </c>
      <c r="C279" s="65" t="s">
        <v>492</v>
      </c>
      <c r="D279" s="64" t="s">
        <v>1605</v>
      </c>
      <c r="E279" s="66" t="s">
        <v>50</v>
      </c>
      <c r="F279" s="65" t="s">
        <v>234</v>
      </c>
      <c r="G279" s="67">
        <v>43077</v>
      </c>
      <c r="H279" s="67"/>
      <c r="I279" s="65">
        <v>25</v>
      </c>
      <c r="J279" s="68">
        <f t="shared" si="84"/>
        <v>4032.2580645161288</v>
      </c>
      <c r="K279" s="68">
        <f t="shared" si="87"/>
        <v>0</v>
      </c>
      <c r="L279" s="68">
        <f t="shared" si="88"/>
        <v>201.61290322580646</v>
      </c>
      <c r="M279" s="68"/>
      <c r="N279" s="68">
        <f t="shared" si="85"/>
        <v>645.16129032258061</v>
      </c>
      <c r="O279" s="68"/>
      <c r="P279" s="68">
        <f t="shared" si="86"/>
        <v>4232.2580645161288</v>
      </c>
      <c r="Q279" s="68">
        <v>0</v>
      </c>
      <c r="R279" s="68">
        <v>0</v>
      </c>
      <c r="S279" s="68">
        <f t="shared" si="89"/>
        <v>9111.290322580644</v>
      </c>
      <c r="T279" s="69">
        <f t="shared" si="90"/>
        <v>483.87096774193543</v>
      </c>
      <c r="U279" s="69">
        <f t="shared" si="98"/>
        <v>160</v>
      </c>
      <c r="V279" s="68">
        <v>0</v>
      </c>
      <c r="W279" s="68">
        <v>12</v>
      </c>
      <c r="X279" s="68">
        <f t="shared" si="91"/>
        <v>655.87096774193537</v>
      </c>
      <c r="Y279" s="68">
        <f t="shared" si="92"/>
        <v>8455.4193548387084</v>
      </c>
      <c r="Z279" s="68"/>
      <c r="AA279" s="68">
        <f t="shared" si="93"/>
        <v>8455.4193548387084</v>
      </c>
      <c r="AB279" s="69">
        <f t="shared" si="94"/>
        <v>530.24193548387098</v>
      </c>
      <c r="AC279" s="69">
        <f t="shared" si="99"/>
        <v>433</v>
      </c>
      <c r="AD279" s="70">
        <f t="shared" si="95"/>
        <v>36</v>
      </c>
      <c r="AE279" s="71">
        <f t="shared" si="96"/>
        <v>999.24193548387098</v>
      </c>
      <c r="AF279" s="71">
        <f t="shared" si="97"/>
        <v>10110.532258064515</v>
      </c>
    </row>
    <row r="280" spans="1:32" x14ac:dyDescent="0.2">
      <c r="A280" s="64" t="s">
        <v>1606</v>
      </c>
      <c r="B280" s="65">
        <v>275</v>
      </c>
      <c r="C280" s="65" t="s">
        <v>352</v>
      </c>
      <c r="D280" s="64" t="s">
        <v>1606</v>
      </c>
      <c r="E280" s="66" t="s">
        <v>50</v>
      </c>
      <c r="F280" s="65" t="s">
        <v>234</v>
      </c>
      <c r="G280" s="67">
        <v>43080</v>
      </c>
      <c r="H280" s="67"/>
      <c r="I280" s="65">
        <v>20</v>
      </c>
      <c r="J280" s="68">
        <f t="shared" si="84"/>
        <v>3225.8064516129029</v>
      </c>
      <c r="K280" s="68">
        <f t="shared" si="87"/>
        <v>0</v>
      </c>
      <c r="L280" s="68">
        <f t="shared" si="88"/>
        <v>161.29032258064515</v>
      </c>
      <c r="M280" s="68"/>
      <c r="N280" s="68">
        <f t="shared" si="85"/>
        <v>516.12903225806451</v>
      </c>
      <c r="O280" s="68"/>
      <c r="P280" s="68">
        <f t="shared" si="86"/>
        <v>3385.8064516129029</v>
      </c>
      <c r="Q280" s="68">
        <v>0</v>
      </c>
      <c r="R280" s="68">
        <v>0</v>
      </c>
      <c r="S280" s="68">
        <f t="shared" si="89"/>
        <v>7289.0322580645152</v>
      </c>
      <c r="T280" s="69">
        <f t="shared" si="90"/>
        <v>387.09677419354836</v>
      </c>
      <c r="U280" s="69">
        <f t="shared" si="98"/>
        <v>128</v>
      </c>
      <c r="V280" s="68">
        <v>0</v>
      </c>
      <c r="W280" s="68">
        <v>12</v>
      </c>
      <c r="X280" s="68">
        <f t="shared" si="91"/>
        <v>527.0967741935483</v>
      </c>
      <c r="Y280" s="68">
        <f t="shared" si="92"/>
        <v>6761.9354838709669</v>
      </c>
      <c r="Z280" s="68"/>
      <c r="AA280" s="68">
        <f t="shared" si="93"/>
        <v>6761.9354838709669</v>
      </c>
      <c r="AB280" s="69">
        <f t="shared" si="94"/>
        <v>424.19354838709677</v>
      </c>
      <c r="AC280" s="69">
        <f t="shared" si="99"/>
        <v>347</v>
      </c>
      <c r="AD280" s="70">
        <f t="shared" si="95"/>
        <v>36</v>
      </c>
      <c r="AE280" s="71">
        <f t="shared" si="96"/>
        <v>807.19354838709683</v>
      </c>
      <c r="AF280" s="71">
        <f t="shared" si="97"/>
        <v>8096.2258064516118</v>
      </c>
    </row>
    <row r="281" spans="1:32" x14ac:dyDescent="0.2">
      <c r="A281" s="64" t="s">
        <v>1607</v>
      </c>
      <c r="B281" s="65">
        <v>276</v>
      </c>
      <c r="C281" s="65" t="s">
        <v>676</v>
      </c>
      <c r="D281" s="64" t="s">
        <v>1607</v>
      </c>
      <c r="E281" s="66" t="s">
        <v>50</v>
      </c>
      <c r="F281" s="65" t="s">
        <v>234</v>
      </c>
      <c r="G281" s="67">
        <v>43083</v>
      </c>
      <c r="H281" s="67"/>
      <c r="I281" s="65">
        <v>20</v>
      </c>
      <c r="J281" s="68">
        <f t="shared" si="84"/>
        <v>3225.8064516129029</v>
      </c>
      <c r="K281" s="68">
        <f t="shared" si="87"/>
        <v>0</v>
      </c>
      <c r="L281" s="68">
        <f t="shared" si="88"/>
        <v>161.29032258064515</v>
      </c>
      <c r="M281" s="68"/>
      <c r="N281" s="68">
        <f t="shared" si="85"/>
        <v>516.12903225806451</v>
      </c>
      <c r="O281" s="68"/>
      <c r="P281" s="68">
        <f t="shared" si="86"/>
        <v>3385.8064516129029</v>
      </c>
      <c r="Q281" s="68">
        <v>0</v>
      </c>
      <c r="R281" s="68">
        <v>0</v>
      </c>
      <c r="S281" s="68">
        <f t="shared" si="89"/>
        <v>7289.0322580645152</v>
      </c>
      <c r="T281" s="69">
        <f t="shared" si="90"/>
        <v>387.09677419354836</v>
      </c>
      <c r="U281" s="69">
        <f t="shared" si="98"/>
        <v>128</v>
      </c>
      <c r="V281" s="68">
        <v>0</v>
      </c>
      <c r="W281" s="68">
        <v>12</v>
      </c>
      <c r="X281" s="68">
        <f t="shared" si="91"/>
        <v>527.0967741935483</v>
      </c>
      <c r="Y281" s="68">
        <f t="shared" si="92"/>
        <v>6761.9354838709669</v>
      </c>
      <c r="Z281" s="68"/>
      <c r="AA281" s="68">
        <f t="shared" si="93"/>
        <v>6761.9354838709669</v>
      </c>
      <c r="AB281" s="69">
        <f t="shared" si="94"/>
        <v>424.19354838709677</v>
      </c>
      <c r="AC281" s="69">
        <f t="shared" si="99"/>
        <v>347</v>
      </c>
      <c r="AD281" s="70">
        <f t="shared" si="95"/>
        <v>36</v>
      </c>
      <c r="AE281" s="71">
        <f t="shared" si="96"/>
        <v>807.19354838709683</v>
      </c>
      <c r="AF281" s="71">
        <f t="shared" si="97"/>
        <v>8096.2258064516118</v>
      </c>
    </row>
    <row r="282" spans="1:32" x14ac:dyDescent="0.2">
      <c r="A282" s="64" t="s">
        <v>1588</v>
      </c>
      <c r="B282" s="65">
        <v>277</v>
      </c>
      <c r="C282" s="65" t="s">
        <v>1461</v>
      </c>
      <c r="D282" s="64" t="s">
        <v>1588</v>
      </c>
      <c r="E282" s="66" t="s">
        <v>50</v>
      </c>
      <c r="F282" s="65" t="s">
        <v>234</v>
      </c>
      <c r="G282" s="67">
        <v>43080</v>
      </c>
      <c r="H282" s="67"/>
      <c r="I282" s="65">
        <v>22</v>
      </c>
      <c r="J282" s="68">
        <f t="shared" si="84"/>
        <v>3548.3870967741932</v>
      </c>
      <c r="K282" s="68">
        <f t="shared" si="87"/>
        <v>0</v>
      </c>
      <c r="L282" s="68">
        <f t="shared" si="88"/>
        <v>177.41935483870967</v>
      </c>
      <c r="M282" s="68"/>
      <c r="N282" s="68">
        <f t="shared" si="85"/>
        <v>567.74193548387098</v>
      </c>
      <c r="O282" s="68"/>
      <c r="P282" s="68">
        <f t="shared" si="86"/>
        <v>3724.3870967741932</v>
      </c>
      <c r="Q282" s="68">
        <v>0</v>
      </c>
      <c r="R282" s="68">
        <v>0</v>
      </c>
      <c r="S282" s="68">
        <f t="shared" si="89"/>
        <v>8017.9354838709669</v>
      </c>
      <c r="T282" s="69">
        <f t="shared" si="90"/>
        <v>425.80645161290317</v>
      </c>
      <c r="U282" s="69">
        <f t="shared" si="98"/>
        <v>141</v>
      </c>
      <c r="V282" s="68">
        <v>0</v>
      </c>
      <c r="W282" s="68">
        <v>12</v>
      </c>
      <c r="X282" s="68">
        <f t="shared" si="91"/>
        <v>578.80645161290317</v>
      </c>
      <c r="Y282" s="68">
        <f t="shared" si="92"/>
        <v>7439.1290322580635</v>
      </c>
      <c r="Z282" s="68"/>
      <c r="AA282" s="68">
        <f t="shared" si="93"/>
        <v>7439.1290322580635</v>
      </c>
      <c r="AB282" s="69">
        <f t="shared" si="94"/>
        <v>466.61290322580641</v>
      </c>
      <c r="AC282" s="69">
        <f t="shared" si="99"/>
        <v>381</v>
      </c>
      <c r="AD282" s="70">
        <f t="shared" si="95"/>
        <v>36</v>
      </c>
      <c r="AE282" s="71">
        <f t="shared" si="96"/>
        <v>883.61290322580635</v>
      </c>
      <c r="AF282" s="71">
        <f t="shared" si="97"/>
        <v>8901.5483870967728</v>
      </c>
    </row>
    <row r="283" spans="1:32" x14ac:dyDescent="0.2">
      <c r="A283" s="64" t="s">
        <v>1608</v>
      </c>
      <c r="B283" s="65">
        <v>278</v>
      </c>
      <c r="C283" s="65" t="s">
        <v>1476</v>
      </c>
      <c r="D283" s="64" t="s">
        <v>1608</v>
      </c>
      <c r="E283" s="66" t="s">
        <v>50</v>
      </c>
      <c r="F283" s="65" t="s">
        <v>234</v>
      </c>
      <c r="G283" s="67">
        <v>43081</v>
      </c>
      <c r="H283" s="67"/>
      <c r="I283" s="65">
        <v>25</v>
      </c>
      <c r="J283" s="68">
        <f t="shared" si="84"/>
        <v>4032.2580645161288</v>
      </c>
      <c r="K283" s="68">
        <f t="shared" si="87"/>
        <v>0</v>
      </c>
      <c r="L283" s="68">
        <f t="shared" si="88"/>
        <v>201.61290322580646</v>
      </c>
      <c r="M283" s="68"/>
      <c r="N283" s="68">
        <f t="shared" si="85"/>
        <v>645.16129032258061</v>
      </c>
      <c r="O283" s="68"/>
      <c r="P283" s="68">
        <f t="shared" si="86"/>
        <v>4232.2580645161288</v>
      </c>
      <c r="Q283" s="68">
        <v>0</v>
      </c>
      <c r="R283" s="68">
        <v>0</v>
      </c>
      <c r="S283" s="68">
        <f t="shared" si="89"/>
        <v>9111.290322580644</v>
      </c>
      <c r="T283" s="69">
        <f t="shared" si="90"/>
        <v>483.87096774193543</v>
      </c>
      <c r="U283" s="69">
        <f t="shared" si="98"/>
        <v>160</v>
      </c>
      <c r="V283" s="68">
        <v>0</v>
      </c>
      <c r="W283" s="68">
        <v>12</v>
      </c>
      <c r="X283" s="68">
        <f t="shared" si="91"/>
        <v>655.87096774193537</v>
      </c>
      <c r="Y283" s="68">
        <f t="shared" si="92"/>
        <v>8455.4193548387084</v>
      </c>
      <c r="Z283" s="68"/>
      <c r="AA283" s="68">
        <f t="shared" si="93"/>
        <v>8455.4193548387084</v>
      </c>
      <c r="AB283" s="69">
        <f t="shared" si="94"/>
        <v>530.24193548387098</v>
      </c>
      <c r="AC283" s="69">
        <f t="shared" si="99"/>
        <v>433</v>
      </c>
      <c r="AD283" s="70">
        <f t="shared" si="95"/>
        <v>36</v>
      </c>
      <c r="AE283" s="71">
        <f t="shared" si="96"/>
        <v>999.24193548387098</v>
      </c>
      <c r="AF283" s="71">
        <f t="shared" si="97"/>
        <v>10110.532258064515</v>
      </c>
    </row>
    <row r="284" spans="1:32" x14ac:dyDescent="0.2">
      <c r="A284" s="64" t="s">
        <v>1609</v>
      </c>
      <c r="B284" s="65">
        <v>279</v>
      </c>
      <c r="C284" s="65" t="s">
        <v>1477</v>
      </c>
      <c r="D284" s="64" t="s">
        <v>1609</v>
      </c>
      <c r="E284" s="66" t="s">
        <v>50</v>
      </c>
      <c r="F284" s="65" t="s">
        <v>234</v>
      </c>
      <c r="G284" s="67">
        <v>43082</v>
      </c>
      <c r="H284" s="67"/>
      <c r="I284" s="65">
        <v>23</v>
      </c>
      <c r="J284" s="68">
        <f t="shared" ref="J284:J303" si="100">(5000/I$3)*I284</f>
        <v>3709.6774193548385</v>
      </c>
      <c r="K284" s="68">
        <f t="shared" si="87"/>
        <v>0</v>
      </c>
      <c r="L284" s="68">
        <f t="shared" si="88"/>
        <v>185.48387096774195</v>
      </c>
      <c r="M284" s="68"/>
      <c r="N284" s="68">
        <f t="shared" ref="N284:N303" si="101">((800)/I$3)*I284</f>
        <v>593.54838709677415</v>
      </c>
      <c r="O284" s="68"/>
      <c r="P284" s="68">
        <f t="shared" si="86"/>
        <v>3893.6774193548385</v>
      </c>
      <c r="Q284" s="68">
        <v>0</v>
      </c>
      <c r="R284" s="68">
        <v>0</v>
      </c>
      <c r="S284" s="68">
        <f t="shared" si="89"/>
        <v>8382.3870967741932</v>
      </c>
      <c r="T284" s="69">
        <f t="shared" si="90"/>
        <v>445.16129032258061</v>
      </c>
      <c r="U284" s="69">
        <f t="shared" si="98"/>
        <v>147</v>
      </c>
      <c r="V284" s="68">
        <v>0</v>
      </c>
      <c r="W284" s="68">
        <v>12</v>
      </c>
      <c r="X284" s="68">
        <f t="shared" si="91"/>
        <v>604.16129032258061</v>
      </c>
      <c r="Y284" s="68">
        <f t="shared" si="92"/>
        <v>7778.2258064516127</v>
      </c>
      <c r="Z284" s="68"/>
      <c r="AA284" s="68">
        <f t="shared" si="93"/>
        <v>7778.2258064516127</v>
      </c>
      <c r="AB284" s="69">
        <f t="shared" si="94"/>
        <v>487.82258064516128</v>
      </c>
      <c r="AC284" s="69">
        <f t="shared" si="99"/>
        <v>399</v>
      </c>
      <c r="AD284" s="70">
        <f t="shared" si="95"/>
        <v>36</v>
      </c>
      <c r="AE284" s="71">
        <f t="shared" si="96"/>
        <v>922.82258064516122</v>
      </c>
      <c r="AF284" s="71">
        <f t="shared" si="97"/>
        <v>9305.2096774193542</v>
      </c>
    </row>
    <row r="285" spans="1:32" x14ac:dyDescent="0.2">
      <c r="A285" s="64" t="s">
        <v>1610</v>
      </c>
      <c r="B285" s="65">
        <v>280</v>
      </c>
      <c r="C285" s="65" t="s">
        <v>1478</v>
      </c>
      <c r="D285" s="64" t="s">
        <v>1610</v>
      </c>
      <c r="E285" s="66" t="s">
        <v>50</v>
      </c>
      <c r="F285" s="65" t="s">
        <v>234</v>
      </c>
      <c r="G285" s="67">
        <v>43085</v>
      </c>
      <c r="H285" s="67"/>
      <c r="I285" s="65">
        <v>23.5</v>
      </c>
      <c r="J285" s="68">
        <f t="shared" si="100"/>
        <v>3790.322580645161</v>
      </c>
      <c r="K285" s="68">
        <f t="shared" si="87"/>
        <v>0</v>
      </c>
      <c r="L285" s="68">
        <f t="shared" si="88"/>
        <v>189.51612903225805</v>
      </c>
      <c r="M285" s="68"/>
      <c r="N285" s="68">
        <f t="shared" si="101"/>
        <v>606.45161290322574</v>
      </c>
      <c r="O285" s="68"/>
      <c r="P285" s="68">
        <f t="shared" si="86"/>
        <v>3978.322580645161</v>
      </c>
      <c r="Q285" s="68">
        <v>0</v>
      </c>
      <c r="R285" s="68">
        <v>0</v>
      </c>
      <c r="S285" s="68">
        <f t="shared" si="89"/>
        <v>8564.6129032258068</v>
      </c>
      <c r="T285" s="69">
        <f t="shared" si="90"/>
        <v>454.83870967741933</v>
      </c>
      <c r="U285" s="69">
        <f t="shared" si="98"/>
        <v>150</v>
      </c>
      <c r="V285" s="68">
        <v>0</v>
      </c>
      <c r="W285" s="68">
        <v>12</v>
      </c>
      <c r="X285" s="68">
        <f t="shared" si="91"/>
        <v>616.83870967741927</v>
      </c>
      <c r="Y285" s="68">
        <f t="shared" si="92"/>
        <v>7947.7741935483873</v>
      </c>
      <c r="Z285" s="68"/>
      <c r="AA285" s="68">
        <f t="shared" si="93"/>
        <v>7947.7741935483873</v>
      </c>
      <c r="AB285" s="69">
        <f t="shared" si="94"/>
        <v>498.42741935483872</v>
      </c>
      <c r="AC285" s="69">
        <f t="shared" si="99"/>
        <v>407</v>
      </c>
      <c r="AD285" s="70">
        <f t="shared" si="95"/>
        <v>36</v>
      </c>
      <c r="AE285" s="71">
        <f t="shared" si="96"/>
        <v>941.42741935483878</v>
      </c>
      <c r="AF285" s="71">
        <f t="shared" si="97"/>
        <v>9506.0403225806458</v>
      </c>
    </row>
    <row r="286" spans="1:32" x14ac:dyDescent="0.2">
      <c r="A286" s="64" t="s">
        <v>1611</v>
      </c>
      <c r="B286" s="65">
        <v>281</v>
      </c>
      <c r="C286" s="65" t="s">
        <v>1479</v>
      </c>
      <c r="D286" s="64" t="s">
        <v>1611</v>
      </c>
      <c r="E286" s="66" t="s">
        <v>50</v>
      </c>
      <c r="F286" s="65" t="s">
        <v>234</v>
      </c>
      <c r="G286" s="67">
        <v>43080</v>
      </c>
      <c r="H286" s="67"/>
      <c r="I286" s="65">
        <v>21</v>
      </c>
      <c r="J286" s="68">
        <f t="shared" si="100"/>
        <v>3387.0967741935483</v>
      </c>
      <c r="K286" s="68">
        <f t="shared" si="87"/>
        <v>0</v>
      </c>
      <c r="L286" s="68">
        <f t="shared" si="88"/>
        <v>169.35483870967744</v>
      </c>
      <c r="M286" s="68"/>
      <c r="N286" s="68">
        <f t="shared" si="101"/>
        <v>541.93548387096769</v>
      </c>
      <c r="O286" s="68"/>
      <c r="P286" s="68">
        <f t="shared" si="86"/>
        <v>3555.0967741935483</v>
      </c>
      <c r="Q286" s="68">
        <v>0</v>
      </c>
      <c r="R286" s="68">
        <v>0</v>
      </c>
      <c r="S286" s="68">
        <f t="shared" si="89"/>
        <v>7653.4838709677415</v>
      </c>
      <c r="T286" s="69">
        <f t="shared" si="90"/>
        <v>406.45161290322579</v>
      </c>
      <c r="U286" s="69">
        <f t="shared" si="98"/>
        <v>134</v>
      </c>
      <c r="V286" s="68">
        <v>0</v>
      </c>
      <c r="W286" s="68">
        <v>12</v>
      </c>
      <c r="X286" s="68">
        <f t="shared" si="91"/>
        <v>552.45161290322585</v>
      </c>
      <c r="Y286" s="68">
        <f t="shared" si="92"/>
        <v>7101.0322580645152</v>
      </c>
      <c r="Z286" s="68"/>
      <c r="AA286" s="68">
        <f t="shared" si="93"/>
        <v>7101.0322580645152</v>
      </c>
      <c r="AB286" s="69">
        <f t="shared" si="94"/>
        <v>445.40322580645164</v>
      </c>
      <c r="AC286" s="69">
        <f t="shared" si="99"/>
        <v>364</v>
      </c>
      <c r="AD286" s="70">
        <f t="shared" si="95"/>
        <v>36</v>
      </c>
      <c r="AE286" s="71">
        <f t="shared" si="96"/>
        <v>845.4032258064517</v>
      </c>
      <c r="AF286" s="71">
        <f t="shared" si="97"/>
        <v>8498.8870967741932</v>
      </c>
    </row>
    <row r="287" spans="1:32" x14ac:dyDescent="0.2">
      <c r="A287" s="64" t="s">
        <v>1612</v>
      </c>
      <c r="B287" s="65">
        <v>282</v>
      </c>
      <c r="C287" s="65" t="s">
        <v>1480</v>
      </c>
      <c r="D287" s="64" t="s">
        <v>1612</v>
      </c>
      <c r="E287" s="66" t="s">
        <v>50</v>
      </c>
      <c r="F287" s="65" t="s">
        <v>234</v>
      </c>
      <c r="G287" s="67">
        <v>43078</v>
      </c>
      <c r="H287" s="67"/>
      <c r="I287" s="65">
        <v>22</v>
      </c>
      <c r="J287" s="68">
        <f t="shared" si="100"/>
        <v>3548.3870967741932</v>
      </c>
      <c r="K287" s="68">
        <f t="shared" si="87"/>
        <v>0</v>
      </c>
      <c r="L287" s="68">
        <f t="shared" si="88"/>
        <v>177.41935483870967</v>
      </c>
      <c r="M287" s="68"/>
      <c r="N287" s="68">
        <f t="shared" si="101"/>
        <v>567.74193548387098</v>
      </c>
      <c r="O287" s="68"/>
      <c r="P287" s="68">
        <f t="shared" si="86"/>
        <v>3724.3870967741932</v>
      </c>
      <c r="Q287" s="68">
        <v>0</v>
      </c>
      <c r="R287" s="68">
        <v>0</v>
      </c>
      <c r="S287" s="68">
        <f t="shared" si="89"/>
        <v>8017.9354838709669</v>
      </c>
      <c r="T287" s="69">
        <f t="shared" si="90"/>
        <v>425.80645161290317</v>
      </c>
      <c r="U287" s="69">
        <f t="shared" si="98"/>
        <v>141</v>
      </c>
      <c r="V287" s="68">
        <v>0</v>
      </c>
      <c r="W287" s="68">
        <v>12</v>
      </c>
      <c r="X287" s="68">
        <f t="shared" si="91"/>
        <v>578.80645161290317</v>
      </c>
      <c r="Y287" s="68">
        <f t="shared" si="92"/>
        <v>7439.1290322580635</v>
      </c>
      <c r="Z287" s="68"/>
      <c r="AA287" s="68">
        <f t="shared" si="93"/>
        <v>7439.1290322580635</v>
      </c>
      <c r="AB287" s="69">
        <f t="shared" si="94"/>
        <v>466.61290322580641</v>
      </c>
      <c r="AC287" s="69">
        <f t="shared" si="99"/>
        <v>381</v>
      </c>
      <c r="AD287" s="70">
        <f t="shared" si="95"/>
        <v>36</v>
      </c>
      <c r="AE287" s="71">
        <f t="shared" si="96"/>
        <v>883.61290322580635</v>
      </c>
      <c r="AF287" s="71">
        <f t="shared" si="97"/>
        <v>8901.5483870967728</v>
      </c>
    </row>
    <row r="288" spans="1:32" x14ac:dyDescent="0.2">
      <c r="A288" s="64" t="s">
        <v>1605</v>
      </c>
      <c r="B288" s="65">
        <v>283</v>
      </c>
      <c r="C288" s="65" t="s">
        <v>492</v>
      </c>
      <c r="D288" s="64" t="s">
        <v>1605</v>
      </c>
      <c r="E288" s="66" t="s">
        <v>50</v>
      </c>
      <c r="F288" s="65" t="s">
        <v>234</v>
      </c>
      <c r="G288" s="67">
        <v>43085</v>
      </c>
      <c r="H288" s="67"/>
      <c r="I288" s="65">
        <v>18</v>
      </c>
      <c r="J288" s="68">
        <f t="shared" si="100"/>
        <v>2903.2258064516127</v>
      </c>
      <c r="K288" s="68">
        <f t="shared" si="87"/>
        <v>0</v>
      </c>
      <c r="L288" s="68">
        <f t="shared" si="88"/>
        <v>145.16129032258064</v>
      </c>
      <c r="M288" s="68"/>
      <c r="N288" s="68">
        <f t="shared" si="101"/>
        <v>464.51612903225805</v>
      </c>
      <c r="O288" s="68"/>
      <c r="P288" s="68">
        <f t="shared" si="86"/>
        <v>3047.2258064516127</v>
      </c>
      <c r="Q288" s="68">
        <v>0</v>
      </c>
      <c r="R288" s="68">
        <v>0</v>
      </c>
      <c r="S288" s="68">
        <f t="shared" si="89"/>
        <v>6560.1290322580644</v>
      </c>
      <c r="T288" s="69">
        <f t="shared" si="90"/>
        <v>348.38709677419354</v>
      </c>
      <c r="U288" s="69">
        <f t="shared" si="98"/>
        <v>115</v>
      </c>
      <c r="V288" s="68">
        <v>0</v>
      </c>
      <c r="W288" s="68">
        <v>12</v>
      </c>
      <c r="X288" s="68">
        <f t="shared" si="91"/>
        <v>475.38709677419354</v>
      </c>
      <c r="Y288" s="68">
        <f t="shared" si="92"/>
        <v>6084.7419354838712</v>
      </c>
      <c r="Z288" s="68"/>
      <c r="AA288" s="68">
        <f t="shared" si="93"/>
        <v>6084.7419354838712</v>
      </c>
      <c r="AB288" s="69">
        <f t="shared" si="94"/>
        <v>381.77419354838707</v>
      </c>
      <c r="AC288" s="69">
        <f t="shared" si="99"/>
        <v>312</v>
      </c>
      <c r="AD288" s="70">
        <f t="shared" si="95"/>
        <v>36</v>
      </c>
      <c r="AE288" s="71">
        <f t="shared" si="96"/>
        <v>729.77419354838707</v>
      </c>
      <c r="AF288" s="71">
        <f t="shared" si="97"/>
        <v>7289.9032258064517</v>
      </c>
    </row>
    <row r="289" spans="1:32" x14ac:dyDescent="0.2">
      <c r="A289" s="64" t="s">
        <v>1613</v>
      </c>
      <c r="B289" s="65">
        <v>284</v>
      </c>
      <c r="C289" s="65" t="s">
        <v>953</v>
      </c>
      <c r="D289" s="64" t="s">
        <v>1613</v>
      </c>
      <c r="E289" s="66" t="s">
        <v>50</v>
      </c>
      <c r="F289" s="65" t="s">
        <v>234</v>
      </c>
      <c r="G289" s="67">
        <v>43084</v>
      </c>
      <c r="H289" s="67"/>
      <c r="I289" s="65">
        <v>17</v>
      </c>
      <c r="J289" s="68">
        <f t="shared" si="100"/>
        <v>2741.9354838709678</v>
      </c>
      <c r="K289" s="68">
        <f t="shared" si="87"/>
        <v>0</v>
      </c>
      <c r="L289" s="68">
        <f t="shared" si="88"/>
        <v>137.09677419354838</v>
      </c>
      <c r="M289" s="68"/>
      <c r="N289" s="68">
        <f t="shared" si="101"/>
        <v>438.70967741935482</v>
      </c>
      <c r="O289" s="68"/>
      <c r="P289" s="68">
        <f t="shared" si="86"/>
        <v>2877.9354838709678</v>
      </c>
      <c r="Q289" s="68">
        <v>0</v>
      </c>
      <c r="R289" s="68">
        <v>0</v>
      </c>
      <c r="S289" s="68">
        <f t="shared" si="89"/>
        <v>6195.677419354839</v>
      </c>
      <c r="T289" s="69">
        <f t="shared" si="90"/>
        <v>329.0322580645161</v>
      </c>
      <c r="U289" s="69">
        <f t="shared" si="98"/>
        <v>109</v>
      </c>
      <c r="V289" s="68">
        <v>0</v>
      </c>
      <c r="W289" s="68">
        <v>12</v>
      </c>
      <c r="X289" s="68">
        <f t="shared" si="91"/>
        <v>450.0322580645161</v>
      </c>
      <c r="Y289" s="68">
        <f t="shared" si="92"/>
        <v>5745.6451612903229</v>
      </c>
      <c r="Z289" s="68"/>
      <c r="AA289" s="68">
        <f t="shared" si="93"/>
        <v>5745.6451612903229</v>
      </c>
      <c r="AB289" s="69">
        <f t="shared" si="94"/>
        <v>360.56451612903226</v>
      </c>
      <c r="AC289" s="69">
        <f t="shared" si="99"/>
        <v>295</v>
      </c>
      <c r="AD289" s="70">
        <f t="shared" si="95"/>
        <v>36</v>
      </c>
      <c r="AE289" s="71">
        <f t="shared" si="96"/>
        <v>691.5645161290322</v>
      </c>
      <c r="AF289" s="71">
        <f t="shared" si="97"/>
        <v>6887.2419354838712</v>
      </c>
    </row>
    <row r="290" spans="1:32" x14ac:dyDescent="0.2">
      <c r="A290" s="64" t="s">
        <v>1614</v>
      </c>
      <c r="B290" s="65">
        <v>285</v>
      </c>
      <c r="C290" s="65" t="s">
        <v>565</v>
      </c>
      <c r="D290" s="64" t="s">
        <v>1614</v>
      </c>
      <c r="E290" s="66" t="s">
        <v>50</v>
      </c>
      <c r="F290" s="65" t="s">
        <v>234</v>
      </c>
      <c r="G290" s="67">
        <v>43084</v>
      </c>
      <c r="H290" s="67"/>
      <c r="I290" s="65">
        <v>19</v>
      </c>
      <c r="J290" s="68">
        <f t="shared" si="100"/>
        <v>3064.516129032258</v>
      </c>
      <c r="K290" s="68">
        <f t="shared" si="87"/>
        <v>0</v>
      </c>
      <c r="L290" s="68">
        <f t="shared" si="88"/>
        <v>153.2258064516129</v>
      </c>
      <c r="M290" s="68"/>
      <c r="N290" s="68">
        <f t="shared" si="101"/>
        <v>490.32258064516128</v>
      </c>
      <c r="O290" s="68"/>
      <c r="P290" s="68">
        <f t="shared" si="86"/>
        <v>3216.516129032258</v>
      </c>
      <c r="Q290" s="68">
        <v>0</v>
      </c>
      <c r="R290" s="68">
        <v>0</v>
      </c>
      <c r="S290" s="68">
        <f t="shared" si="89"/>
        <v>6924.5806451612898</v>
      </c>
      <c r="T290" s="69">
        <f t="shared" si="90"/>
        <v>367.74193548387098</v>
      </c>
      <c r="U290" s="69">
        <f t="shared" si="98"/>
        <v>122</v>
      </c>
      <c r="V290" s="68">
        <v>0</v>
      </c>
      <c r="W290" s="68">
        <v>12</v>
      </c>
      <c r="X290" s="68">
        <f t="shared" si="91"/>
        <v>501.74193548387098</v>
      </c>
      <c r="Y290" s="68">
        <f t="shared" si="92"/>
        <v>6422.8387096774186</v>
      </c>
      <c r="Z290" s="68"/>
      <c r="AA290" s="68">
        <f t="shared" si="93"/>
        <v>6422.8387096774186</v>
      </c>
      <c r="AB290" s="69">
        <f t="shared" si="94"/>
        <v>402.98387096774195</v>
      </c>
      <c r="AC290" s="69">
        <f t="shared" si="99"/>
        <v>329</v>
      </c>
      <c r="AD290" s="70">
        <f t="shared" si="95"/>
        <v>36</v>
      </c>
      <c r="AE290" s="71">
        <f t="shared" si="96"/>
        <v>767.98387096774195</v>
      </c>
      <c r="AF290" s="71">
        <f t="shared" si="97"/>
        <v>7692.5645161290322</v>
      </c>
    </row>
    <row r="291" spans="1:32" x14ac:dyDescent="0.2">
      <c r="A291" s="64" t="s">
        <v>1615</v>
      </c>
      <c r="B291" s="65">
        <v>286</v>
      </c>
      <c r="C291" s="65" t="s">
        <v>722</v>
      </c>
      <c r="D291" s="64" t="s">
        <v>1615</v>
      </c>
      <c r="E291" s="66" t="s">
        <v>50</v>
      </c>
      <c r="F291" s="65" t="s">
        <v>234</v>
      </c>
      <c r="G291" s="67">
        <v>43084</v>
      </c>
      <c r="H291" s="67"/>
      <c r="I291" s="65">
        <v>13</v>
      </c>
      <c r="J291" s="68">
        <f t="shared" si="100"/>
        <v>2096.7741935483868</v>
      </c>
      <c r="K291" s="68">
        <f t="shared" si="87"/>
        <v>0</v>
      </c>
      <c r="L291" s="68">
        <f t="shared" si="88"/>
        <v>104.83870967741935</v>
      </c>
      <c r="M291" s="68"/>
      <c r="N291" s="68">
        <f t="shared" si="101"/>
        <v>335.48387096774189</v>
      </c>
      <c r="O291" s="68"/>
      <c r="P291" s="68">
        <f t="shared" si="86"/>
        <v>2200.7741935483868</v>
      </c>
      <c r="Q291" s="68">
        <v>0</v>
      </c>
      <c r="R291" s="68">
        <v>0</v>
      </c>
      <c r="S291" s="68">
        <f t="shared" si="89"/>
        <v>4737.8709677419356</v>
      </c>
      <c r="T291" s="69">
        <f t="shared" si="90"/>
        <v>251.61290322580641</v>
      </c>
      <c r="U291" s="69">
        <f t="shared" si="98"/>
        <v>83</v>
      </c>
      <c r="V291" s="68">
        <v>0</v>
      </c>
      <c r="W291" s="68">
        <v>12</v>
      </c>
      <c r="X291" s="68">
        <f t="shared" si="91"/>
        <v>346.61290322580641</v>
      </c>
      <c r="Y291" s="68">
        <f t="shared" si="92"/>
        <v>4391.2580645161288</v>
      </c>
      <c r="Z291" s="68"/>
      <c r="AA291" s="68">
        <f t="shared" si="93"/>
        <v>4391.2580645161288</v>
      </c>
      <c r="AB291" s="69">
        <f t="shared" si="94"/>
        <v>275.72580645161287</v>
      </c>
      <c r="AC291" s="69">
        <f t="shared" si="99"/>
        <v>226</v>
      </c>
      <c r="AD291" s="70">
        <f t="shared" si="95"/>
        <v>36</v>
      </c>
      <c r="AE291" s="71">
        <f t="shared" si="96"/>
        <v>537.72580645161293</v>
      </c>
      <c r="AF291" s="71">
        <f t="shared" si="97"/>
        <v>5275.5967741935483</v>
      </c>
    </row>
    <row r="292" spans="1:32" x14ac:dyDescent="0.2">
      <c r="A292" s="64" t="s">
        <v>1616</v>
      </c>
      <c r="B292" s="65">
        <v>287</v>
      </c>
      <c r="C292" s="65" t="s">
        <v>533</v>
      </c>
      <c r="D292" s="64" t="s">
        <v>1616</v>
      </c>
      <c r="E292" s="66" t="s">
        <v>50</v>
      </c>
      <c r="F292" s="65" t="s">
        <v>234</v>
      </c>
      <c r="G292" s="67">
        <v>43084</v>
      </c>
      <c r="H292" s="67"/>
      <c r="I292" s="65">
        <v>19</v>
      </c>
      <c r="J292" s="68">
        <f t="shared" si="100"/>
        <v>3064.516129032258</v>
      </c>
      <c r="K292" s="68">
        <f t="shared" si="87"/>
        <v>0</v>
      </c>
      <c r="L292" s="68">
        <f t="shared" si="88"/>
        <v>153.2258064516129</v>
      </c>
      <c r="M292" s="68"/>
      <c r="N292" s="68">
        <f t="shared" si="101"/>
        <v>490.32258064516128</v>
      </c>
      <c r="O292" s="68"/>
      <c r="P292" s="68">
        <f t="shared" si="86"/>
        <v>3216.516129032258</v>
      </c>
      <c r="Q292" s="68">
        <v>0</v>
      </c>
      <c r="R292" s="68">
        <v>0</v>
      </c>
      <c r="S292" s="68">
        <f t="shared" si="89"/>
        <v>6924.5806451612898</v>
      </c>
      <c r="T292" s="69">
        <f t="shared" si="90"/>
        <v>367.74193548387098</v>
      </c>
      <c r="U292" s="69">
        <f t="shared" si="98"/>
        <v>122</v>
      </c>
      <c r="V292" s="68">
        <v>0</v>
      </c>
      <c r="W292" s="68">
        <v>12</v>
      </c>
      <c r="X292" s="68">
        <f t="shared" si="91"/>
        <v>501.74193548387098</v>
      </c>
      <c r="Y292" s="68">
        <f t="shared" si="92"/>
        <v>6422.8387096774186</v>
      </c>
      <c r="Z292" s="68"/>
      <c r="AA292" s="68">
        <f t="shared" si="93"/>
        <v>6422.8387096774186</v>
      </c>
      <c r="AB292" s="69">
        <f t="shared" si="94"/>
        <v>402.98387096774195</v>
      </c>
      <c r="AC292" s="69">
        <f t="shared" si="99"/>
        <v>329</v>
      </c>
      <c r="AD292" s="70">
        <f t="shared" si="95"/>
        <v>36</v>
      </c>
      <c r="AE292" s="71">
        <f t="shared" si="96"/>
        <v>767.98387096774195</v>
      </c>
      <c r="AF292" s="71">
        <f t="shared" si="97"/>
        <v>7692.5645161290322</v>
      </c>
    </row>
    <row r="293" spans="1:32" x14ac:dyDescent="0.2">
      <c r="A293" s="64" t="s">
        <v>1617</v>
      </c>
      <c r="B293" s="65">
        <v>288</v>
      </c>
      <c r="C293" s="65" t="s">
        <v>1481</v>
      </c>
      <c r="D293" s="64" t="s">
        <v>1617</v>
      </c>
      <c r="E293" s="66" t="s">
        <v>50</v>
      </c>
      <c r="F293" s="65" t="s">
        <v>234</v>
      </c>
      <c r="G293" s="67">
        <v>43077</v>
      </c>
      <c r="H293" s="67"/>
      <c r="I293" s="65">
        <v>18</v>
      </c>
      <c r="J293" s="68">
        <f t="shared" si="100"/>
        <v>2903.2258064516127</v>
      </c>
      <c r="K293" s="68">
        <f t="shared" si="87"/>
        <v>0</v>
      </c>
      <c r="L293" s="68">
        <f t="shared" si="88"/>
        <v>145.16129032258064</v>
      </c>
      <c r="M293" s="68"/>
      <c r="N293" s="68">
        <f t="shared" si="101"/>
        <v>464.51612903225805</v>
      </c>
      <c r="O293" s="68"/>
      <c r="P293" s="68">
        <f t="shared" si="86"/>
        <v>3047.2258064516127</v>
      </c>
      <c r="Q293" s="68">
        <v>0</v>
      </c>
      <c r="R293" s="68">
        <v>0</v>
      </c>
      <c r="S293" s="68">
        <f t="shared" si="89"/>
        <v>6560.1290322580644</v>
      </c>
      <c r="T293" s="69">
        <f t="shared" si="90"/>
        <v>348.38709677419354</v>
      </c>
      <c r="U293" s="69">
        <f t="shared" si="98"/>
        <v>115</v>
      </c>
      <c r="V293" s="68">
        <v>0</v>
      </c>
      <c r="W293" s="68">
        <v>12</v>
      </c>
      <c r="X293" s="68">
        <f t="shared" si="91"/>
        <v>475.38709677419354</v>
      </c>
      <c r="Y293" s="68">
        <f t="shared" si="92"/>
        <v>6084.7419354838712</v>
      </c>
      <c r="Z293" s="68"/>
      <c r="AA293" s="68">
        <f t="shared" si="93"/>
        <v>6084.7419354838712</v>
      </c>
      <c r="AB293" s="69">
        <f t="shared" si="94"/>
        <v>381.77419354838707</v>
      </c>
      <c r="AC293" s="69">
        <f t="shared" si="99"/>
        <v>312</v>
      </c>
      <c r="AD293" s="70">
        <f t="shared" si="95"/>
        <v>36</v>
      </c>
      <c r="AE293" s="71">
        <f t="shared" si="96"/>
        <v>729.77419354838707</v>
      </c>
      <c r="AF293" s="71">
        <f t="shared" si="97"/>
        <v>7289.9032258064517</v>
      </c>
    </row>
    <row r="294" spans="1:32" x14ac:dyDescent="0.2">
      <c r="A294" s="64" t="s">
        <v>1618</v>
      </c>
      <c r="B294" s="65">
        <v>289</v>
      </c>
      <c r="C294" s="65" t="s">
        <v>1482</v>
      </c>
      <c r="D294" s="64" t="s">
        <v>1618</v>
      </c>
      <c r="E294" s="66" t="s">
        <v>50</v>
      </c>
      <c r="F294" s="65" t="s">
        <v>234</v>
      </c>
      <c r="G294" s="67">
        <v>43080</v>
      </c>
      <c r="H294" s="67"/>
      <c r="I294" s="65">
        <v>18</v>
      </c>
      <c r="J294" s="68">
        <f t="shared" si="100"/>
        <v>2903.2258064516127</v>
      </c>
      <c r="K294" s="68">
        <f t="shared" si="87"/>
        <v>0</v>
      </c>
      <c r="L294" s="68">
        <f t="shared" si="88"/>
        <v>145.16129032258064</v>
      </c>
      <c r="M294" s="68"/>
      <c r="N294" s="68">
        <f t="shared" si="101"/>
        <v>464.51612903225805</v>
      </c>
      <c r="O294" s="68"/>
      <c r="P294" s="68">
        <f t="shared" si="86"/>
        <v>3047.2258064516127</v>
      </c>
      <c r="Q294" s="68">
        <v>0</v>
      </c>
      <c r="R294" s="68">
        <v>0</v>
      </c>
      <c r="S294" s="68">
        <f t="shared" si="89"/>
        <v>6560.1290322580644</v>
      </c>
      <c r="T294" s="69">
        <f t="shared" si="90"/>
        <v>348.38709677419354</v>
      </c>
      <c r="U294" s="69">
        <f t="shared" si="98"/>
        <v>115</v>
      </c>
      <c r="V294" s="68">
        <v>0</v>
      </c>
      <c r="W294" s="68">
        <v>12</v>
      </c>
      <c r="X294" s="68">
        <f t="shared" si="91"/>
        <v>475.38709677419354</v>
      </c>
      <c r="Y294" s="68">
        <f t="shared" si="92"/>
        <v>6084.7419354838712</v>
      </c>
      <c r="Z294" s="68"/>
      <c r="AA294" s="68">
        <f t="shared" si="93"/>
        <v>6084.7419354838712</v>
      </c>
      <c r="AB294" s="69">
        <f t="shared" si="94"/>
        <v>381.77419354838707</v>
      </c>
      <c r="AC294" s="69">
        <f t="shared" si="99"/>
        <v>312</v>
      </c>
      <c r="AD294" s="70">
        <f t="shared" si="95"/>
        <v>36</v>
      </c>
      <c r="AE294" s="71">
        <f t="shared" si="96"/>
        <v>729.77419354838707</v>
      </c>
      <c r="AF294" s="71">
        <f t="shared" si="97"/>
        <v>7289.9032258064517</v>
      </c>
    </row>
    <row r="295" spans="1:32" x14ac:dyDescent="0.2">
      <c r="A295" s="64" t="s">
        <v>1619</v>
      </c>
      <c r="B295" s="65">
        <v>290</v>
      </c>
      <c r="C295" s="65" t="s">
        <v>1483</v>
      </c>
      <c r="D295" s="64" t="s">
        <v>1619</v>
      </c>
      <c r="E295" s="66" t="s">
        <v>50</v>
      </c>
      <c r="F295" s="65" t="s">
        <v>234</v>
      </c>
      <c r="G295" s="67">
        <v>43084</v>
      </c>
      <c r="H295" s="67"/>
      <c r="I295" s="65">
        <v>15</v>
      </c>
      <c r="J295" s="68">
        <f t="shared" si="100"/>
        <v>2419.3548387096771</v>
      </c>
      <c r="K295" s="68">
        <f t="shared" si="87"/>
        <v>0</v>
      </c>
      <c r="L295" s="68">
        <f t="shared" si="88"/>
        <v>120.96774193548386</v>
      </c>
      <c r="M295" s="68"/>
      <c r="N295" s="68">
        <f t="shared" si="101"/>
        <v>387.09677419354836</v>
      </c>
      <c r="O295" s="68"/>
      <c r="P295" s="68">
        <f t="shared" si="86"/>
        <v>2539.3548387096771</v>
      </c>
      <c r="Q295" s="68">
        <v>0</v>
      </c>
      <c r="R295" s="68">
        <v>0</v>
      </c>
      <c r="S295" s="68">
        <f t="shared" si="89"/>
        <v>5466.7741935483864</v>
      </c>
      <c r="T295" s="69">
        <f t="shared" si="90"/>
        <v>290.32258064516122</v>
      </c>
      <c r="U295" s="69">
        <f t="shared" si="98"/>
        <v>96</v>
      </c>
      <c r="V295" s="68">
        <v>0</v>
      </c>
      <c r="W295" s="68">
        <v>12</v>
      </c>
      <c r="X295" s="68">
        <f t="shared" si="91"/>
        <v>398.32258064516122</v>
      </c>
      <c r="Y295" s="68">
        <f t="shared" si="92"/>
        <v>5068.4516129032254</v>
      </c>
      <c r="Z295" s="68"/>
      <c r="AA295" s="68">
        <f t="shared" si="93"/>
        <v>5068.4516129032254</v>
      </c>
      <c r="AB295" s="69">
        <f t="shared" si="94"/>
        <v>318.14516129032256</v>
      </c>
      <c r="AC295" s="69">
        <f t="shared" si="99"/>
        <v>260</v>
      </c>
      <c r="AD295" s="70">
        <f t="shared" si="95"/>
        <v>36</v>
      </c>
      <c r="AE295" s="71">
        <f t="shared" si="96"/>
        <v>614.14516129032256</v>
      </c>
      <c r="AF295" s="71">
        <f t="shared" si="97"/>
        <v>6080.9193548387093</v>
      </c>
    </row>
    <row r="296" spans="1:32" x14ac:dyDescent="0.2">
      <c r="A296" s="64" t="s">
        <v>1620</v>
      </c>
      <c r="B296" s="65">
        <v>291</v>
      </c>
      <c r="C296" s="65" t="s">
        <v>1484</v>
      </c>
      <c r="D296" s="64" t="s">
        <v>1620</v>
      </c>
      <c r="E296" s="66" t="s">
        <v>50</v>
      </c>
      <c r="F296" s="65" t="s">
        <v>234</v>
      </c>
      <c r="G296" s="67">
        <v>43092</v>
      </c>
      <c r="H296" s="67"/>
      <c r="I296" s="65">
        <v>11</v>
      </c>
      <c r="J296" s="68">
        <f t="shared" si="100"/>
        <v>1774.1935483870966</v>
      </c>
      <c r="K296" s="68">
        <f t="shared" si="87"/>
        <v>0</v>
      </c>
      <c r="L296" s="68">
        <f t="shared" si="88"/>
        <v>88.709677419354833</v>
      </c>
      <c r="M296" s="68"/>
      <c r="N296" s="68">
        <f t="shared" si="101"/>
        <v>283.87096774193549</v>
      </c>
      <c r="O296" s="68"/>
      <c r="P296" s="68">
        <f t="shared" si="86"/>
        <v>1862.1935483870966</v>
      </c>
      <c r="Q296" s="68">
        <v>0</v>
      </c>
      <c r="R296" s="68">
        <v>0</v>
      </c>
      <c r="S296" s="68">
        <f t="shared" si="89"/>
        <v>4008.9677419354834</v>
      </c>
      <c r="T296" s="69">
        <f t="shared" si="90"/>
        <v>212.90322580645159</v>
      </c>
      <c r="U296" s="69">
        <f t="shared" si="98"/>
        <v>71</v>
      </c>
      <c r="V296" s="68">
        <v>0</v>
      </c>
      <c r="W296" s="68">
        <v>12</v>
      </c>
      <c r="X296" s="68">
        <f t="shared" si="91"/>
        <v>295.90322580645159</v>
      </c>
      <c r="Y296" s="68">
        <f t="shared" si="92"/>
        <v>3713.0645161290317</v>
      </c>
      <c r="Z296" s="68"/>
      <c r="AA296" s="68">
        <f t="shared" si="93"/>
        <v>3713.0645161290317</v>
      </c>
      <c r="AB296" s="69">
        <f t="shared" si="94"/>
        <v>233.3064516129032</v>
      </c>
      <c r="AC296" s="69">
        <f t="shared" si="99"/>
        <v>191</v>
      </c>
      <c r="AD296" s="70">
        <f t="shared" si="95"/>
        <v>36</v>
      </c>
      <c r="AE296" s="71">
        <f t="shared" si="96"/>
        <v>460.30645161290317</v>
      </c>
      <c r="AF296" s="71">
        <f t="shared" si="97"/>
        <v>4469.2741935483864</v>
      </c>
    </row>
    <row r="297" spans="1:32" x14ac:dyDescent="0.2">
      <c r="A297" s="64" t="s">
        <v>1621</v>
      </c>
      <c r="B297" s="65">
        <v>292</v>
      </c>
      <c r="C297" s="65" t="s">
        <v>1485</v>
      </c>
      <c r="D297" s="64" t="s">
        <v>1621</v>
      </c>
      <c r="E297" s="66" t="s">
        <v>50</v>
      </c>
      <c r="F297" s="65" t="s">
        <v>234</v>
      </c>
      <c r="G297" s="67">
        <v>43084</v>
      </c>
      <c r="H297" s="67"/>
      <c r="I297" s="65">
        <v>18</v>
      </c>
      <c r="J297" s="68">
        <f t="shared" si="100"/>
        <v>2903.2258064516127</v>
      </c>
      <c r="K297" s="68">
        <f t="shared" si="87"/>
        <v>0</v>
      </c>
      <c r="L297" s="68">
        <f t="shared" si="88"/>
        <v>145.16129032258064</v>
      </c>
      <c r="M297" s="68"/>
      <c r="N297" s="68">
        <f t="shared" si="101"/>
        <v>464.51612903225805</v>
      </c>
      <c r="O297" s="68"/>
      <c r="P297" s="68">
        <f t="shared" si="86"/>
        <v>3047.2258064516127</v>
      </c>
      <c r="Q297" s="68">
        <v>0</v>
      </c>
      <c r="R297" s="68">
        <v>0</v>
      </c>
      <c r="S297" s="68">
        <f t="shared" si="89"/>
        <v>6560.1290322580644</v>
      </c>
      <c r="T297" s="69">
        <f t="shared" si="90"/>
        <v>348.38709677419354</v>
      </c>
      <c r="U297" s="69">
        <f t="shared" si="98"/>
        <v>115</v>
      </c>
      <c r="V297" s="68">
        <v>0</v>
      </c>
      <c r="W297" s="68">
        <v>12</v>
      </c>
      <c r="X297" s="68">
        <f t="shared" si="91"/>
        <v>475.38709677419354</v>
      </c>
      <c r="Y297" s="68">
        <f t="shared" si="92"/>
        <v>6084.7419354838712</v>
      </c>
      <c r="Z297" s="68"/>
      <c r="AA297" s="68">
        <f t="shared" si="93"/>
        <v>6084.7419354838712</v>
      </c>
      <c r="AB297" s="69">
        <f t="shared" si="94"/>
        <v>381.77419354838707</v>
      </c>
      <c r="AC297" s="69">
        <f t="shared" si="99"/>
        <v>312</v>
      </c>
      <c r="AD297" s="70">
        <f t="shared" si="95"/>
        <v>36</v>
      </c>
      <c r="AE297" s="71">
        <f t="shared" si="96"/>
        <v>729.77419354838707</v>
      </c>
      <c r="AF297" s="71">
        <f t="shared" si="97"/>
        <v>7289.9032258064517</v>
      </c>
    </row>
    <row r="298" spans="1:32" x14ac:dyDescent="0.2">
      <c r="A298" s="64" t="s">
        <v>1622</v>
      </c>
      <c r="B298" s="65">
        <v>293</v>
      </c>
      <c r="C298" s="65" t="s">
        <v>1486</v>
      </c>
      <c r="D298" s="64" t="s">
        <v>1622</v>
      </c>
      <c r="E298" s="66" t="s">
        <v>50</v>
      </c>
      <c r="F298" s="65" t="s">
        <v>234</v>
      </c>
      <c r="G298" s="67">
        <v>43091</v>
      </c>
      <c r="H298" s="67"/>
      <c r="I298" s="65">
        <v>11</v>
      </c>
      <c r="J298" s="68">
        <f t="shared" si="100"/>
        <v>1774.1935483870966</v>
      </c>
      <c r="K298" s="68">
        <f t="shared" si="87"/>
        <v>0</v>
      </c>
      <c r="L298" s="68">
        <f t="shared" si="88"/>
        <v>88.709677419354833</v>
      </c>
      <c r="M298" s="68"/>
      <c r="N298" s="68">
        <f t="shared" si="101"/>
        <v>283.87096774193549</v>
      </c>
      <c r="O298" s="68"/>
      <c r="P298" s="68">
        <f t="shared" si="86"/>
        <v>1862.1935483870966</v>
      </c>
      <c r="Q298" s="68">
        <v>0</v>
      </c>
      <c r="R298" s="68">
        <v>0</v>
      </c>
      <c r="S298" s="68">
        <f t="shared" si="89"/>
        <v>4008.9677419354834</v>
      </c>
      <c r="T298" s="69">
        <f t="shared" si="90"/>
        <v>212.90322580645159</v>
      </c>
      <c r="U298" s="69">
        <f t="shared" si="98"/>
        <v>71</v>
      </c>
      <c r="V298" s="68">
        <v>0</v>
      </c>
      <c r="W298" s="68">
        <v>12</v>
      </c>
      <c r="X298" s="68">
        <f t="shared" si="91"/>
        <v>295.90322580645159</v>
      </c>
      <c r="Y298" s="68">
        <f t="shared" si="92"/>
        <v>3713.0645161290317</v>
      </c>
      <c r="Z298" s="68"/>
      <c r="AA298" s="68">
        <f t="shared" si="93"/>
        <v>3713.0645161290317</v>
      </c>
      <c r="AB298" s="69">
        <f t="shared" si="94"/>
        <v>233.3064516129032</v>
      </c>
      <c r="AC298" s="69">
        <f t="shared" si="99"/>
        <v>191</v>
      </c>
      <c r="AD298" s="70">
        <f t="shared" si="95"/>
        <v>36</v>
      </c>
      <c r="AE298" s="71">
        <f t="shared" si="96"/>
        <v>460.30645161290317</v>
      </c>
      <c r="AF298" s="71">
        <f t="shared" si="97"/>
        <v>4469.2741935483864</v>
      </c>
    </row>
    <row r="299" spans="1:32" x14ac:dyDescent="0.2">
      <c r="A299" s="64" t="s">
        <v>1623</v>
      </c>
      <c r="B299" s="65">
        <v>294</v>
      </c>
      <c r="C299" s="65" t="s">
        <v>1487</v>
      </c>
      <c r="D299" s="64" t="s">
        <v>1623</v>
      </c>
      <c r="E299" s="66" t="s">
        <v>50</v>
      </c>
      <c r="F299" s="65" t="s">
        <v>234</v>
      </c>
      <c r="G299" s="67">
        <v>43092</v>
      </c>
      <c r="H299" s="67"/>
      <c r="I299" s="65">
        <v>11</v>
      </c>
      <c r="J299" s="68">
        <f t="shared" si="100"/>
        <v>1774.1935483870966</v>
      </c>
      <c r="K299" s="68">
        <f t="shared" si="87"/>
        <v>0</v>
      </c>
      <c r="L299" s="68">
        <f t="shared" si="88"/>
        <v>88.709677419354833</v>
      </c>
      <c r="M299" s="68"/>
      <c r="N299" s="68">
        <f t="shared" si="101"/>
        <v>283.87096774193549</v>
      </c>
      <c r="O299" s="68"/>
      <c r="P299" s="68">
        <f t="shared" si="86"/>
        <v>1862.1935483870966</v>
      </c>
      <c r="Q299" s="68">
        <v>0</v>
      </c>
      <c r="R299" s="68">
        <v>0</v>
      </c>
      <c r="S299" s="68">
        <f t="shared" si="89"/>
        <v>4008.9677419354834</v>
      </c>
      <c r="T299" s="69">
        <f t="shared" si="90"/>
        <v>212.90322580645159</v>
      </c>
      <c r="U299" s="69">
        <f t="shared" si="98"/>
        <v>71</v>
      </c>
      <c r="V299" s="68">
        <v>0</v>
      </c>
      <c r="W299" s="68">
        <v>12</v>
      </c>
      <c r="X299" s="68">
        <f t="shared" si="91"/>
        <v>295.90322580645159</v>
      </c>
      <c r="Y299" s="68">
        <f t="shared" si="92"/>
        <v>3713.0645161290317</v>
      </c>
      <c r="Z299" s="68"/>
      <c r="AA299" s="68">
        <f t="shared" si="93"/>
        <v>3713.0645161290317</v>
      </c>
      <c r="AB299" s="69">
        <f t="shared" si="94"/>
        <v>233.3064516129032</v>
      </c>
      <c r="AC299" s="69">
        <f t="shared" si="99"/>
        <v>191</v>
      </c>
      <c r="AD299" s="70">
        <f t="shared" si="95"/>
        <v>36</v>
      </c>
      <c r="AE299" s="71">
        <f t="shared" si="96"/>
        <v>460.30645161290317</v>
      </c>
      <c r="AF299" s="71">
        <f t="shared" si="97"/>
        <v>4469.2741935483864</v>
      </c>
    </row>
    <row r="300" spans="1:32" x14ac:dyDescent="0.2">
      <c r="A300" s="64" t="s">
        <v>1624</v>
      </c>
      <c r="B300" s="65">
        <v>295</v>
      </c>
      <c r="C300" s="65" t="s">
        <v>1488</v>
      </c>
      <c r="D300" s="64" t="s">
        <v>1624</v>
      </c>
      <c r="E300" s="66" t="s">
        <v>50</v>
      </c>
      <c r="F300" s="65" t="s">
        <v>234</v>
      </c>
      <c r="G300" s="67">
        <v>43092</v>
      </c>
      <c r="H300" s="67"/>
      <c r="I300" s="65">
        <v>11</v>
      </c>
      <c r="J300" s="68">
        <f t="shared" si="100"/>
        <v>1774.1935483870966</v>
      </c>
      <c r="K300" s="68">
        <f t="shared" si="87"/>
        <v>0</v>
      </c>
      <c r="L300" s="68">
        <f t="shared" si="88"/>
        <v>88.709677419354833</v>
      </c>
      <c r="M300" s="68"/>
      <c r="N300" s="68">
        <f t="shared" si="101"/>
        <v>283.87096774193549</v>
      </c>
      <c r="O300" s="68"/>
      <c r="P300" s="68">
        <f t="shared" si="86"/>
        <v>1862.1935483870966</v>
      </c>
      <c r="Q300" s="68">
        <v>0</v>
      </c>
      <c r="R300" s="68">
        <v>0</v>
      </c>
      <c r="S300" s="68">
        <f t="shared" si="89"/>
        <v>4008.9677419354834</v>
      </c>
      <c r="T300" s="69">
        <f t="shared" si="90"/>
        <v>212.90322580645159</v>
      </c>
      <c r="U300" s="69">
        <f t="shared" si="98"/>
        <v>71</v>
      </c>
      <c r="V300" s="68">
        <v>0</v>
      </c>
      <c r="W300" s="68">
        <v>12</v>
      </c>
      <c r="X300" s="68">
        <f t="shared" si="91"/>
        <v>295.90322580645159</v>
      </c>
      <c r="Y300" s="68">
        <f t="shared" si="92"/>
        <v>3713.0645161290317</v>
      </c>
      <c r="Z300" s="68"/>
      <c r="AA300" s="68">
        <f t="shared" si="93"/>
        <v>3713.0645161290317</v>
      </c>
      <c r="AB300" s="69">
        <f t="shared" si="94"/>
        <v>233.3064516129032</v>
      </c>
      <c r="AC300" s="69">
        <f t="shared" si="99"/>
        <v>191</v>
      </c>
      <c r="AD300" s="70">
        <f t="shared" si="95"/>
        <v>36</v>
      </c>
      <c r="AE300" s="71">
        <f t="shared" si="96"/>
        <v>460.30645161290317</v>
      </c>
      <c r="AF300" s="71">
        <f t="shared" si="97"/>
        <v>4469.2741935483864</v>
      </c>
    </row>
    <row r="301" spans="1:32" x14ac:dyDescent="0.2">
      <c r="A301" s="64" t="s">
        <v>1625</v>
      </c>
      <c r="B301" s="65">
        <v>296</v>
      </c>
      <c r="C301" s="65" t="s">
        <v>1489</v>
      </c>
      <c r="D301" s="64" t="s">
        <v>1625</v>
      </c>
      <c r="E301" s="66" t="s">
        <v>50</v>
      </c>
      <c r="F301" s="65" t="s">
        <v>238</v>
      </c>
      <c r="G301" s="67">
        <v>43085</v>
      </c>
      <c r="H301" s="67"/>
      <c r="I301" s="65">
        <v>10</v>
      </c>
      <c r="J301" s="68">
        <f t="shared" si="100"/>
        <v>1612.9032258064515</v>
      </c>
      <c r="K301" s="68">
        <f t="shared" si="87"/>
        <v>0</v>
      </c>
      <c r="L301" s="68">
        <f t="shared" si="88"/>
        <v>80.645161290322577</v>
      </c>
      <c r="M301" s="68"/>
      <c r="N301" s="68">
        <f t="shared" si="101"/>
        <v>258.06451612903226</v>
      </c>
      <c r="O301" s="68"/>
      <c r="P301" s="68">
        <f t="shared" si="86"/>
        <v>1692.9032258064515</v>
      </c>
      <c r="Q301" s="68">
        <v>0</v>
      </c>
      <c r="R301" s="68">
        <v>0</v>
      </c>
      <c r="S301" s="68">
        <f t="shared" si="89"/>
        <v>3644.5161290322576</v>
      </c>
      <c r="T301" s="69">
        <f t="shared" si="90"/>
        <v>193.54838709677418</v>
      </c>
      <c r="U301" s="69">
        <f t="shared" si="98"/>
        <v>64</v>
      </c>
      <c r="V301" s="68">
        <v>0</v>
      </c>
      <c r="W301" s="68">
        <v>12</v>
      </c>
      <c r="X301" s="68">
        <f t="shared" si="91"/>
        <v>269.54838709677415</v>
      </c>
      <c r="Y301" s="68">
        <f t="shared" si="92"/>
        <v>3374.9677419354834</v>
      </c>
      <c r="Z301" s="68"/>
      <c r="AA301" s="68">
        <f t="shared" si="93"/>
        <v>3374.9677419354834</v>
      </c>
      <c r="AB301" s="69">
        <f t="shared" si="94"/>
        <v>212.09677419354838</v>
      </c>
      <c r="AC301" s="69">
        <f t="shared" si="99"/>
        <v>174</v>
      </c>
      <c r="AD301" s="70">
        <f t="shared" si="95"/>
        <v>36</v>
      </c>
      <c r="AE301" s="71">
        <f t="shared" si="96"/>
        <v>422.09677419354841</v>
      </c>
      <c r="AF301" s="71">
        <f t="shared" si="97"/>
        <v>4066.6129032258059</v>
      </c>
    </row>
    <row r="302" spans="1:32" x14ac:dyDescent="0.2">
      <c r="A302" s="64" t="s">
        <v>1626</v>
      </c>
      <c r="B302" s="65">
        <v>297</v>
      </c>
      <c r="C302" s="65" t="s">
        <v>1491</v>
      </c>
      <c r="D302" s="64" t="s">
        <v>1626</v>
      </c>
      <c r="E302" s="66" t="s">
        <v>50</v>
      </c>
      <c r="F302" s="65" t="s">
        <v>239</v>
      </c>
      <c r="G302" s="67">
        <v>43081</v>
      </c>
      <c r="H302" s="67"/>
      <c r="I302" s="65">
        <v>22</v>
      </c>
      <c r="J302" s="68">
        <f t="shared" si="100"/>
        <v>3548.3870967741932</v>
      </c>
      <c r="K302" s="68">
        <f t="shared" si="87"/>
        <v>0</v>
      </c>
      <c r="L302" s="68">
        <f t="shared" si="88"/>
        <v>177.41935483870967</v>
      </c>
      <c r="M302" s="68"/>
      <c r="N302" s="68">
        <f t="shared" si="101"/>
        <v>567.74193548387098</v>
      </c>
      <c r="O302" s="68"/>
      <c r="P302" s="68">
        <f>((5248-1018)/I$3)*I302</f>
        <v>3001.9354838709673</v>
      </c>
      <c r="Q302" s="68">
        <v>0</v>
      </c>
      <c r="R302" s="68">
        <v>0</v>
      </c>
      <c r="S302" s="68">
        <f t="shared" si="89"/>
        <v>7295.4838709677406</v>
      </c>
      <c r="T302" s="69">
        <f t="shared" si="90"/>
        <v>425.80645161290317</v>
      </c>
      <c r="U302" s="69">
        <f t="shared" si="98"/>
        <v>128</v>
      </c>
      <c r="V302" s="68">
        <v>0</v>
      </c>
      <c r="W302" s="68">
        <v>12</v>
      </c>
      <c r="X302" s="68">
        <f t="shared" si="91"/>
        <v>565.80645161290317</v>
      </c>
      <c r="Y302" s="68">
        <f t="shared" si="92"/>
        <v>6729.6774193548372</v>
      </c>
      <c r="Z302" s="68"/>
      <c r="AA302" s="68">
        <f t="shared" si="93"/>
        <v>6729.6774193548372</v>
      </c>
      <c r="AB302" s="69">
        <f t="shared" si="94"/>
        <v>466.61290322580641</v>
      </c>
      <c r="AC302" s="69">
        <f t="shared" si="99"/>
        <v>347</v>
      </c>
      <c r="AD302" s="70">
        <f t="shared" si="95"/>
        <v>36</v>
      </c>
      <c r="AE302" s="71">
        <f t="shared" si="96"/>
        <v>849.61290322580635</v>
      </c>
      <c r="AF302" s="71">
        <f t="shared" si="97"/>
        <v>8145.0967741935474</v>
      </c>
    </row>
    <row r="303" spans="1:32" x14ac:dyDescent="0.2">
      <c r="A303" s="64" t="s">
        <v>1627</v>
      </c>
      <c r="B303" s="65">
        <v>298</v>
      </c>
      <c r="C303" s="65" t="s">
        <v>1492</v>
      </c>
      <c r="D303" s="64" t="s">
        <v>1627</v>
      </c>
      <c r="E303" s="66" t="s">
        <v>50</v>
      </c>
      <c r="F303" s="65" t="s">
        <v>237</v>
      </c>
      <c r="G303" s="67">
        <v>43085</v>
      </c>
      <c r="H303" s="67"/>
      <c r="I303" s="65">
        <v>18</v>
      </c>
      <c r="J303" s="68">
        <f t="shared" si="100"/>
        <v>2903.2258064516127</v>
      </c>
      <c r="K303" s="68">
        <f t="shared" si="87"/>
        <v>0</v>
      </c>
      <c r="L303" s="68">
        <f t="shared" si="88"/>
        <v>145.16129032258064</v>
      </c>
      <c r="M303" s="68"/>
      <c r="N303" s="68">
        <f t="shared" si="101"/>
        <v>464.51612903225805</v>
      </c>
      <c r="O303" s="68"/>
      <c r="P303" s="68">
        <f>((5248)/I$3)*I303</f>
        <v>3047.2258064516127</v>
      </c>
      <c r="Q303" s="68">
        <v>0</v>
      </c>
      <c r="R303" s="68">
        <v>0</v>
      </c>
      <c r="S303" s="68">
        <f t="shared" si="89"/>
        <v>6560.1290322580644</v>
      </c>
      <c r="T303" s="69">
        <f t="shared" si="90"/>
        <v>348.38709677419354</v>
      </c>
      <c r="U303" s="69">
        <f t="shared" si="98"/>
        <v>115</v>
      </c>
      <c r="V303" s="68">
        <v>0</v>
      </c>
      <c r="W303" s="68">
        <v>12</v>
      </c>
      <c r="X303" s="68">
        <f t="shared" si="91"/>
        <v>475.38709677419354</v>
      </c>
      <c r="Y303" s="68">
        <f t="shared" si="92"/>
        <v>6084.7419354838712</v>
      </c>
      <c r="Z303" s="68"/>
      <c r="AA303" s="68">
        <f t="shared" si="93"/>
        <v>6084.7419354838712</v>
      </c>
      <c r="AB303" s="69">
        <f t="shared" si="94"/>
        <v>381.77419354838707</v>
      </c>
      <c r="AC303" s="69">
        <f t="shared" si="99"/>
        <v>312</v>
      </c>
      <c r="AD303" s="70">
        <f t="shared" si="95"/>
        <v>36</v>
      </c>
      <c r="AE303" s="71">
        <f t="shared" si="96"/>
        <v>729.77419354838707</v>
      </c>
      <c r="AF303" s="71">
        <f t="shared" si="97"/>
        <v>7289.9032258064517</v>
      </c>
    </row>
    <row r="304" spans="1:32" s="17" customFormat="1" x14ac:dyDescent="0.2">
      <c r="A304" s="72"/>
      <c r="B304" s="72"/>
      <c r="C304" s="72" t="s">
        <v>669</v>
      </c>
      <c r="D304" s="72"/>
      <c r="E304" s="72"/>
      <c r="F304" s="72"/>
      <c r="G304" s="72"/>
      <c r="H304" s="72"/>
      <c r="I304" s="72">
        <f>SUM(I6:I303)</f>
        <v>8530.5</v>
      </c>
      <c r="J304" s="73">
        <f>SUM(J6:J303)</f>
        <v>1376021.5053763452</v>
      </c>
      <c r="K304" s="73">
        <f>SUM(K6:K303)</f>
        <v>0</v>
      </c>
      <c r="L304" s="73">
        <f>SUM(L6:L303)</f>
        <v>68801.075268817207</v>
      </c>
      <c r="M304" s="73"/>
      <c r="N304" s="73">
        <f>SUM(N6:N303)</f>
        <v>220963.44086021505</v>
      </c>
      <c r="O304" s="73"/>
      <c r="P304" s="73">
        <f t="shared" ref="P304:AF304" si="102">SUM(P6:P303)</f>
        <v>1432426.0430107533</v>
      </c>
      <c r="Q304" s="73">
        <f t="shared" si="102"/>
        <v>3831</v>
      </c>
      <c r="R304" s="73">
        <f t="shared" si="102"/>
        <v>0</v>
      </c>
      <c r="S304" s="73">
        <f t="shared" si="102"/>
        <v>3102043.0645161304</v>
      </c>
      <c r="T304" s="73">
        <f t="shared" si="102"/>
        <v>165122.58064516127</v>
      </c>
      <c r="U304" s="73">
        <f t="shared" si="102"/>
        <v>53944</v>
      </c>
      <c r="V304" s="73">
        <f t="shared" si="102"/>
        <v>0</v>
      </c>
      <c r="W304" s="73">
        <f t="shared" si="102"/>
        <v>3540</v>
      </c>
      <c r="X304" s="73">
        <f t="shared" si="102"/>
        <v>222606.58064516122</v>
      </c>
      <c r="Y304" s="73">
        <f t="shared" si="102"/>
        <v>2879436.4838709673</v>
      </c>
      <c r="Z304" s="73">
        <f t="shared" si="102"/>
        <v>3287</v>
      </c>
      <c r="AA304" s="73">
        <f t="shared" si="102"/>
        <v>2876149.4838709673</v>
      </c>
      <c r="AB304" s="73">
        <f t="shared" si="102"/>
        <v>180946.82795698947</v>
      </c>
      <c r="AC304" s="73">
        <f t="shared" si="102"/>
        <v>146226</v>
      </c>
      <c r="AD304" s="73">
        <f t="shared" si="102"/>
        <v>10620</v>
      </c>
      <c r="AE304" s="73">
        <f t="shared" si="102"/>
        <v>337792.82795698917</v>
      </c>
      <c r="AF304" s="73">
        <f t="shared" si="102"/>
        <v>3439835.8924731193</v>
      </c>
    </row>
    <row r="307" spans="29:29" x14ac:dyDescent="0.2">
      <c r="AC307" s="60"/>
    </row>
  </sheetData>
  <sortState ref="A6:AF303">
    <sortCondition ref="A6:A303"/>
  </sortState>
  <mergeCells count="3">
    <mergeCell ref="J4:P4"/>
    <mergeCell ref="T4:W4"/>
    <mergeCell ref="AB4:AD4"/>
  </mergeCells>
  <conditionalFormatting sqref="C157:C158">
    <cfRule type="duplicateValues" dxfId="853" priority="4"/>
  </conditionalFormatting>
  <conditionalFormatting sqref="C157:C158">
    <cfRule type="duplicateValues" dxfId="852" priority="5"/>
    <cfRule type="duplicateValues" dxfId="851" priority="6"/>
  </conditionalFormatting>
  <printOptions horizontalCentered="1" headings="1"/>
  <pageMargins left="0" right="0" top="1.35" bottom="0" header="0" footer="0"/>
  <pageSetup paperSize="9" scale="85" orientation="landscape" verticalDpi="0" r:id="rId1"/>
  <headerFooter>
    <oddHeader>&amp;C&amp;"-,Italic"Salary statement for the Month of Nov-17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47982"/>
  <sheetViews>
    <sheetView zoomScaleNormal="100" workbookViewId="0">
      <selection activeCell="E35" sqref="E35"/>
    </sheetView>
  </sheetViews>
  <sheetFormatPr defaultRowHeight="12.75" x14ac:dyDescent="0.2"/>
  <cols>
    <col min="1" max="1" width="7" style="106" customWidth="1"/>
    <col min="2" max="2" width="5.7109375" style="106" bestFit="1" customWidth="1"/>
    <col min="3" max="3" width="26.28515625" style="106" customWidth="1"/>
    <col min="4" max="4" width="13.7109375" style="106" customWidth="1"/>
    <col min="5" max="5" width="14.7109375" style="106" bestFit="1" customWidth="1"/>
    <col min="6" max="6" width="15.5703125" style="106" customWidth="1"/>
    <col min="7" max="8" width="6.7109375" style="106" hidden="1" customWidth="1"/>
    <col min="9" max="9" width="8" style="106" customWidth="1"/>
    <col min="10" max="10" width="14.42578125" style="107" bestFit="1" customWidth="1"/>
    <col min="11" max="11" width="5.28515625" style="107" hidden="1" customWidth="1"/>
    <col min="12" max="12" width="8.5703125" style="107" customWidth="1"/>
    <col min="13" max="13" width="12.42578125" style="107" hidden="1" customWidth="1"/>
    <col min="14" max="14" width="9.85546875" style="107" bestFit="1" customWidth="1"/>
    <col min="15" max="15" width="13.5703125" style="107" hidden="1" customWidth="1"/>
    <col min="16" max="16" width="14.42578125" style="107" bestFit="1" customWidth="1"/>
    <col min="17" max="17" width="9.140625" style="107" hidden="1" customWidth="1"/>
    <col min="18" max="18" width="7.7109375" style="107" hidden="1" customWidth="1"/>
    <col min="19" max="19" width="8.7109375" style="107" customWidth="1"/>
    <col min="20" max="20" width="10.85546875" style="107" customWidth="1"/>
    <col min="21" max="21" width="14.5703125" style="107" bestFit="1" customWidth="1"/>
    <col min="22" max="22" width="8.5703125" style="107" customWidth="1"/>
    <col min="23" max="23" width="7.140625" style="107" customWidth="1"/>
    <col min="24" max="24" width="6.85546875" style="107" hidden="1" customWidth="1"/>
    <col min="25" max="25" width="8.7109375" style="107" customWidth="1"/>
    <col min="26" max="26" width="14.42578125" style="107" bestFit="1" customWidth="1"/>
    <col min="27" max="16384" width="9.140625" style="106"/>
  </cols>
  <sheetData>
    <row r="1" spans="1:26" ht="13.5" x14ac:dyDescent="0.25">
      <c r="B1" s="105"/>
      <c r="C1" s="106" t="s">
        <v>24</v>
      </c>
    </row>
    <row r="2" spans="1:26" x14ac:dyDescent="0.2">
      <c r="B2" s="109"/>
      <c r="C2" s="106" t="s">
        <v>1706</v>
      </c>
    </row>
    <row r="3" spans="1:26" ht="13.5" thickBot="1" x14ac:dyDescent="0.25">
      <c r="I3" s="108">
        <v>28</v>
      </c>
    </row>
    <row r="4" spans="1:26" ht="13.5" x14ac:dyDescent="0.25">
      <c r="A4" s="81" t="s">
        <v>28</v>
      </c>
      <c r="B4" s="82" t="s">
        <v>26</v>
      </c>
      <c r="C4" s="83" t="s">
        <v>0</v>
      </c>
      <c r="D4" s="83" t="s">
        <v>49</v>
      </c>
      <c r="E4" s="83" t="s">
        <v>2</v>
      </c>
      <c r="F4" s="84" t="s">
        <v>1</v>
      </c>
      <c r="G4" s="84"/>
      <c r="H4" s="84"/>
      <c r="I4" s="82" t="s">
        <v>3</v>
      </c>
      <c r="J4" s="152" t="s">
        <v>4</v>
      </c>
      <c r="K4" s="152"/>
      <c r="L4" s="152"/>
      <c r="M4" s="152"/>
      <c r="N4" s="152"/>
      <c r="O4" s="152"/>
      <c r="P4" s="152"/>
      <c r="Q4" s="152"/>
      <c r="R4" s="152"/>
      <c r="S4" s="152"/>
      <c r="T4" s="152" t="s">
        <v>5</v>
      </c>
      <c r="U4" s="152" t="s">
        <v>7</v>
      </c>
      <c r="V4" s="152"/>
      <c r="W4" s="152"/>
      <c r="X4" s="152"/>
      <c r="Y4" s="152" t="s">
        <v>5</v>
      </c>
      <c r="Z4" s="152" t="s">
        <v>8</v>
      </c>
    </row>
    <row r="5" spans="1:26" ht="14.25" thickBot="1" x14ac:dyDescent="0.3">
      <c r="A5" s="87" t="s">
        <v>29</v>
      </c>
      <c r="B5" s="88" t="s">
        <v>27</v>
      </c>
      <c r="C5" s="89" t="s">
        <v>11</v>
      </c>
      <c r="D5" s="89"/>
      <c r="E5" s="89"/>
      <c r="F5" s="90"/>
      <c r="G5" s="90" t="s">
        <v>1722</v>
      </c>
      <c r="H5" s="90" t="s">
        <v>1723</v>
      </c>
      <c r="I5" s="91" t="s">
        <v>12</v>
      </c>
      <c r="J5" s="92" t="s">
        <v>13</v>
      </c>
      <c r="K5" s="92" t="s">
        <v>14</v>
      </c>
      <c r="L5" s="92" t="s">
        <v>15</v>
      </c>
      <c r="M5" s="88" t="s">
        <v>97</v>
      </c>
      <c r="N5" s="92" t="s">
        <v>6</v>
      </c>
      <c r="O5" s="88" t="s">
        <v>98</v>
      </c>
      <c r="P5" s="92" t="s">
        <v>22</v>
      </c>
      <c r="Q5" s="88" t="s">
        <v>1656</v>
      </c>
      <c r="R5" s="88" t="s">
        <v>1417</v>
      </c>
      <c r="S5" s="88" t="s">
        <v>1724</v>
      </c>
      <c r="T5" s="93" t="s">
        <v>16</v>
      </c>
      <c r="U5" s="93" t="s">
        <v>17</v>
      </c>
      <c r="V5" s="93" t="s">
        <v>18</v>
      </c>
      <c r="W5" s="93" t="s">
        <v>19</v>
      </c>
      <c r="X5" s="88" t="s">
        <v>31</v>
      </c>
      <c r="Y5" s="93" t="s">
        <v>16</v>
      </c>
      <c r="Z5" s="93" t="s">
        <v>20</v>
      </c>
    </row>
    <row r="6" spans="1:26" x14ac:dyDescent="0.2">
      <c r="A6" s="74" t="s">
        <v>36</v>
      </c>
      <c r="B6" s="75">
        <v>1</v>
      </c>
      <c r="C6" s="75" t="s">
        <v>35</v>
      </c>
      <c r="D6" s="97" t="s">
        <v>50</v>
      </c>
      <c r="E6" s="97" t="s">
        <v>234</v>
      </c>
      <c r="F6" s="76">
        <v>43009</v>
      </c>
      <c r="G6" s="133">
        <v>28</v>
      </c>
      <c r="H6" s="133" t="e">
        <v>#REF!</v>
      </c>
      <c r="I6" s="153">
        <f>VLOOKUP(A6,'attendance '!C5:AJ89,34,0)</f>
        <v>26</v>
      </c>
      <c r="J6" s="77">
        <v>5000</v>
      </c>
      <c r="K6" s="77">
        <v>0</v>
      </c>
      <c r="L6" s="77">
        <v>250</v>
      </c>
      <c r="M6" s="77"/>
      <c r="N6" s="77">
        <v>800</v>
      </c>
      <c r="O6" s="77"/>
      <c r="P6" s="77">
        <v>6470</v>
      </c>
      <c r="Q6" s="77"/>
      <c r="R6" s="77">
        <v>0</v>
      </c>
      <c r="S6" s="77">
        <v>0</v>
      </c>
      <c r="T6" s="77">
        <v>12520</v>
      </c>
      <c r="U6" s="78">
        <v>600</v>
      </c>
      <c r="V6" s="78">
        <v>220</v>
      </c>
      <c r="W6" s="77">
        <v>0</v>
      </c>
      <c r="X6" s="77">
        <v>0</v>
      </c>
      <c r="Y6" s="77">
        <v>820</v>
      </c>
      <c r="Z6" s="77">
        <v>11700</v>
      </c>
    </row>
    <row r="7" spans="1:26" x14ac:dyDescent="0.2">
      <c r="A7" s="74" t="s">
        <v>37</v>
      </c>
      <c r="B7" s="75">
        <v>2</v>
      </c>
      <c r="C7" s="75" t="s">
        <v>33</v>
      </c>
      <c r="D7" s="97" t="s">
        <v>50</v>
      </c>
      <c r="E7" s="97" t="s">
        <v>235</v>
      </c>
      <c r="F7" s="76">
        <v>43009</v>
      </c>
      <c r="G7" s="133">
        <v>28</v>
      </c>
      <c r="H7" s="133" t="e">
        <v>#REF!</v>
      </c>
      <c r="I7" s="153">
        <f>VLOOKUP(A7,'attendance '!C6:AJ90,34,0)</f>
        <v>28</v>
      </c>
      <c r="J7" s="68">
        <v>5178.5714285714294</v>
      </c>
      <c r="K7" s="68">
        <v>0</v>
      </c>
      <c r="L7" s="68">
        <v>258.9285714285715</v>
      </c>
      <c r="M7" s="68"/>
      <c r="N7" s="68">
        <v>828.57142857142867</v>
      </c>
      <c r="O7" s="68"/>
      <c r="P7" s="68">
        <v>8848.1071428571413</v>
      </c>
      <c r="Q7" s="68"/>
      <c r="R7" s="68">
        <v>0</v>
      </c>
      <c r="S7" s="68">
        <v>499.75</v>
      </c>
      <c r="T7" s="68">
        <v>15613.928571428571</v>
      </c>
      <c r="U7" s="69">
        <v>621.42857142857144</v>
      </c>
      <c r="V7" s="69">
        <v>274</v>
      </c>
      <c r="W7" s="68">
        <v>0</v>
      </c>
      <c r="X7" s="68">
        <v>0</v>
      </c>
      <c r="Y7" s="68">
        <v>895.42857142857144</v>
      </c>
      <c r="Z7" s="68">
        <v>14718.5</v>
      </c>
    </row>
    <row r="8" spans="1:26" x14ac:dyDescent="0.2">
      <c r="A8" s="74" t="s">
        <v>38</v>
      </c>
      <c r="B8" s="75">
        <v>3</v>
      </c>
      <c r="C8" s="75" t="s">
        <v>34</v>
      </c>
      <c r="D8" s="97" t="s">
        <v>50</v>
      </c>
      <c r="E8" s="97" t="s">
        <v>232</v>
      </c>
      <c r="F8" s="76">
        <v>43009</v>
      </c>
      <c r="G8" s="133">
        <v>28</v>
      </c>
      <c r="H8" s="133" t="e">
        <v>#REF!</v>
      </c>
      <c r="I8" s="153">
        <f>VLOOKUP(A8,'attendance '!C7:AJ91,34,0)</f>
        <v>27</v>
      </c>
      <c r="J8" s="68">
        <v>5535.7142857142862</v>
      </c>
      <c r="K8" s="68">
        <v>0</v>
      </c>
      <c r="L8" s="68">
        <v>276.78571428571433</v>
      </c>
      <c r="M8" s="68"/>
      <c r="N8" s="68">
        <v>1771.4285714285716</v>
      </c>
      <c r="O8" s="68"/>
      <c r="P8" s="68">
        <v>14547.857142857143</v>
      </c>
      <c r="Q8" s="68"/>
      <c r="R8" s="68">
        <v>0</v>
      </c>
      <c r="S8" s="68">
        <v>2077</v>
      </c>
      <c r="T8" s="68">
        <v>24208.785714285717</v>
      </c>
      <c r="U8" s="69">
        <v>664.28571428571433</v>
      </c>
      <c r="V8" s="69">
        <v>424</v>
      </c>
      <c r="W8" s="68">
        <v>0</v>
      </c>
      <c r="X8" s="68">
        <v>0</v>
      </c>
      <c r="Y8" s="68">
        <v>1088.2857142857142</v>
      </c>
      <c r="Z8" s="68">
        <v>23120.500000000004</v>
      </c>
    </row>
    <row r="9" spans="1:26" x14ac:dyDescent="0.2">
      <c r="A9" s="74" t="s">
        <v>41</v>
      </c>
      <c r="B9" s="75">
        <v>4</v>
      </c>
      <c r="C9" s="75" t="s">
        <v>39</v>
      </c>
      <c r="D9" s="97" t="s">
        <v>50</v>
      </c>
      <c r="E9" s="97" t="s">
        <v>234</v>
      </c>
      <c r="F9" s="76">
        <v>43009</v>
      </c>
      <c r="G9" s="133">
        <v>28</v>
      </c>
      <c r="H9" s="133" t="e">
        <v>#REF!</v>
      </c>
      <c r="I9" s="153">
        <f>VLOOKUP(A9,'attendance '!C8:AJ92,34,0)</f>
        <v>22</v>
      </c>
      <c r="J9" s="68">
        <v>4107.1428571428578</v>
      </c>
      <c r="K9" s="68">
        <v>0</v>
      </c>
      <c r="L9" s="68">
        <v>205.35714285714289</v>
      </c>
      <c r="M9" s="68"/>
      <c r="N9" s="68">
        <v>657.14285714285722</v>
      </c>
      <c r="O9" s="68"/>
      <c r="P9" s="68">
        <v>5819.8214285714284</v>
      </c>
      <c r="Q9" s="68"/>
      <c r="R9" s="68">
        <v>0</v>
      </c>
      <c r="S9" s="68">
        <v>0</v>
      </c>
      <c r="T9" s="68">
        <v>10789.464285714286</v>
      </c>
      <c r="U9" s="69">
        <v>492.85714285714289</v>
      </c>
      <c r="V9" s="69">
        <v>189</v>
      </c>
      <c r="W9" s="68">
        <v>0</v>
      </c>
      <c r="X9" s="68">
        <v>0</v>
      </c>
      <c r="Y9" s="68">
        <v>681.85714285714289</v>
      </c>
      <c r="Z9" s="68">
        <v>10107.607142857143</v>
      </c>
    </row>
    <row r="10" spans="1:26" x14ac:dyDescent="0.2">
      <c r="A10" s="74" t="s">
        <v>43</v>
      </c>
      <c r="B10" s="75">
        <v>5</v>
      </c>
      <c r="C10" s="75" t="s">
        <v>489</v>
      </c>
      <c r="D10" s="97" t="s">
        <v>50</v>
      </c>
      <c r="E10" s="97" t="s">
        <v>237</v>
      </c>
      <c r="F10" s="76">
        <v>43009</v>
      </c>
      <c r="G10" s="133">
        <v>28</v>
      </c>
      <c r="H10" s="133" t="e">
        <v>#REF!</v>
      </c>
      <c r="I10" s="153">
        <f>VLOOKUP(A10,'attendance '!C9:AJ93,34,0)</f>
        <v>27</v>
      </c>
      <c r="J10" s="68">
        <v>5000</v>
      </c>
      <c r="K10" s="68">
        <v>0</v>
      </c>
      <c r="L10" s="68">
        <v>250</v>
      </c>
      <c r="M10" s="68"/>
      <c r="N10" s="68">
        <v>800</v>
      </c>
      <c r="O10" s="68"/>
      <c r="P10" s="68">
        <v>10012</v>
      </c>
      <c r="Q10" s="68"/>
      <c r="R10" s="68">
        <v>0</v>
      </c>
      <c r="S10" s="68">
        <v>0</v>
      </c>
      <c r="T10" s="68">
        <v>16062</v>
      </c>
      <c r="U10" s="69">
        <v>600</v>
      </c>
      <c r="V10" s="69">
        <v>282</v>
      </c>
      <c r="W10" s="68">
        <v>0</v>
      </c>
      <c r="X10" s="68">
        <v>0</v>
      </c>
      <c r="Y10" s="68">
        <v>882</v>
      </c>
      <c r="Z10" s="68">
        <v>15180</v>
      </c>
    </row>
    <row r="11" spans="1:26" x14ac:dyDescent="0.2">
      <c r="A11" s="74" t="s">
        <v>620</v>
      </c>
      <c r="B11" s="75">
        <v>6</v>
      </c>
      <c r="C11" s="75" t="s">
        <v>354</v>
      </c>
      <c r="D11" s="97" t="s">
        <v>50</v>
      </c>
      <c r="E11" s="97" t="s">
        <v>581</v>
      </c>
      <c r="F11" s="76">
        <v>43009</v>
      </c>
      <c r="G11" s="133">
        <v>28</v>
      </c>
      <c r="H11" s="133" t="e">
        <v>#REF!</v>
      </c>
      <c r="I11" s="153">
        <f>VLOOKUP(A11,'attendance '!C10:AJ94,34,0)</f>
        <v>21</v>
      </c>
      <c r="J11" s="68">
        <v>4107.1428571428578</v>
      </c>
      <c r="K11" s="68">
        <v>0</v>
      </c>
      <c r="L11" s="68">
        <v>205.35714285714289</v>
      </c>
      <c r="M11" s="68"/>
      <c r="N11" s="68">
        <v>657.14285714285722</v>
      </c>
      <c r="O11" s="68"/>
      <c r="P11" s="68">
        <v>8100.1071428571431</v>
      </c>
      <c r="Q11" s="68"/>
      <c r="R11" s="68">
        <v>0</v>
      </c>
      <c r="S11" s="68">
        <v>0</v>
      </c>
      <c r="T11" s="68">
        <v>13069.75</v>
      </c>
      <c r="U11" s="69">
        <v>492.85714285714289</v>
      </c>
      <c r="V11" s="69">
        <v>229</v>
      </c>
      <c r="W11" s="68">
        <v>0</v>
      </c>
      <c r="X11" s="68">
        <v>0</v>
      </c>
      <c r="Y11" s="68">
        <v>721.85714285714289</v>
      </c>
      <c r="Z11" s="68">
        <v>12347.892857142857</v>
      </c>
    </row>
    <row r="12" spans="1:26" x14ac:dyDescent="0.2">
      <c r="A12" s="74" t="s">
        <v>57</v>
      </c>
      <c r="B12" s="75">
        <v>7</v>
      </c>
      <c r="C12" s="75" t="s">
        <v>47</v>
      </c>
      <c r="D12" s="97" t="s">
        <v>50</v>
      </c>
      <c r="E12" s="97" t="s">
        <v>234</v>
      </c>
      <c r="F12" s="76">
        <v>43009</v>
      </c>
      <c r="G12" s="133">
        <v>28</v>
      </c>
      <c r="H12" s="133" t="e">
        <v>#REF!</v>
      </c>
      <c r="I12" s="153">
        <f>VLOOKUP(A12,'attendance '!C11:AJ95,34,0)</f>
        <v>13</v>
      </c>
      <c r="J12" s="68">
        <v>2321.4285714285716</v>
      </c>
      <c r="K12" s="68">
        <v>0</v>
      </c>
      <c r="L12" s="68">
        <v>116.07142857142858</v>
      </c>
      <c r="M12" s="68"/>
      <c r="N12" s="68">
        <v>371.42857142857144</v>
      </c>
      <c r="O12" s="68"/>
      <c r="P12" s="68">
        <v>3003.9285714285716</v>
      </c>
      <c r="Q12" s="68"/>
      <c r="R12" s="68">
        <v>0</v>
      </c>
      <c r="S12" s="68">
        <v>0</v>
      </c>
      <c r="T12" s="68">
        <v>5812.8571428571431</v>
      </c>
      <c r="U12" s="69">
        <v>278.57142857142856</v>
      </c>
      <c r="V12" s="69">
        <v>102</v>
      </c>
      <c r="W12" s="68">
        <v>0</v>
      </c>
      <c r="X12" s="68">
        <v>0</v>
      </c>
      <c r="Y12" s="68">
        <v>380.57142857142856</v>
      </c>
      <c r="Z12" s="68">
        <v>5432.2857142857147</v>
      </c>
    </row>
    <row r="13" spans="1:26" x14ac:dyDescent="0.2">
      <c r="A13" s="74" t="s">
        <v>1447</v>
      </c>
      <c r="B13" s="75">
        <v>8</v>
      </c>
      <c r="C13" s="75" t="s">
        <v>1406</v>
      </c>
      <c r="D13" s="97" t="s">
        <v>50</v>
      </c>
      <c r="E13" s="97" t="s">
        <v>238</v>
      </c>
      <c r="F13" s="76">
        <v>43009</v>
      </c>
      <c r="G13" s="133">
        <v>28</v>
      </c>
      <c r="H13" s="133" t="e">
        <v>#REF!</v>
      </c>
      <c r="I13" s="153">
        <f>VLOOKUP(A13,'attendance '!C12:AJ96,34,0)</f>
        <v>27</v>
      </c>
      <c r="J13" s="68">
        <v>5357.1428571428578</v>
      </c>
      <c r="K13" s="68">
        <v>0</v>
      </c>
      <c r="L13" s="68">
        <v>267.85714285714289</v>
      </c>
      <c r="M13" s="68"/>
      <c r="N13" s="68">
        <v>857.14285714285722</v>
      </c>
      <c r="O13" s="68"/>
      <c r="P13" s="68">
        <v>7340.3571428571422</v>
      </c>
      <c r="Q13" s="68"/>
      <c r="R13" s="68">
        <v>0</v>
      </c>
      <c r="S13" s="68">
        <v>878.64285714285688</v>
      </c>
      <c r="T13" s="68">
        <v>14701.142857142857</v>
      </c>
      <c r="U13" s="69">
        <v>642.85714285714289</v>
      </c>
      <c r="V13" s="69">
        <v>258</v>
      </c>
      <c r="W13" s="68">
        <v>0</v>
      </c>
      <c r="X13" s="68">
        <v>0</v>
      </c>
      <c r="Y13" s="68">
        <v>900.85714285714289</v>
      </c>
      <c r="Z13" s="68">
        <v>13800.285714285714</v>
      </c>
    </row>
    <row r="14" spans="1:26" x14ac:dyDescent="0.2">
      <c r="A14" s="74" t="s">
        <v>77</v>
      </c>
      <c r="B14" s="75">
        <v>9</v>
      </c>
      <c r="C14" s="75" t="s">
        <v>64</v>
      </c>
      <c r="D14" s="97" t="s">
        <v>50</v>
      </c>
      <c r="E14" s="97" t="s">
        <v>239</v>
      </c>
      <c r="F14" s="76">
        <v>43009</v>
      </c>
      <c r="G14" s="133">
        <v>28</v>
      </c>
      <c r="H14" s="133" t="e">
        <v>#REF!</v>
      </c>
      <c r="I14" s="153">
        <f>VLOOKUP(A14,'attendance '!C13:AJ97,34,0)</f>
        <v>25</v>
      </c>
      <c r="J14" s="68">
        <v>5178.5714285714294</v>
      </c>
      <c r="K14" s="68">
        <v>0</v>
      </c>
      <c r="L14" s="68">
        <v>258.9285714285715</v>
      </c>
      <c r="M14" s="68"/>
      <c r="N14" s="68">
        <v>828.57142857142867</v>
      </c>
      <c r="O14" s="68"/>
      <c r="P14" s="68">
        <v>7122.6071428571431</v>
      </c>
      <c r="Q14" s="68"/>
      <c r="R14" s="68">
        <v>0</v>
      </c>
      <c r="S14" s="68">
        <v>439</v>
      </c>
      <c r="T14" s="68">
        <v>13827.678571428572</v>
      </c>
      <c r="U14" s="69">
        <v>621.42857142857144</v>
      </c>
      <c r="V14" s="69">
        <v>242</v>
      </c>
      <c r="W14" s="68">
        <v>0</v>
      </c>
      <c r="X14" s="68">
        <v>0</v>
      </c>
      <c r="Y14" s="68">
        <v>863.42857142857144</v>
      </c>
      <c r="Z14" s="68">
        <v>12964.250000000002</v>
      </c>
    </row>
    <row r="15" spans="1:26" x14ac:dyDescent="0.2">
      <c r="A15" s="74" t="s">
        <v>78</v>
      </c>
      <c r="B15" s="75">
        <v>10</v>
      </c>
      <c r="C15" s="75" t="s">
        <v>490</v>
      </c>
      <c r="D15" s="97" t="s">
        <v>50</v>
      </c>
      <c r="E15" s="97" t="s">
        <v>239</v>
      </c>
      <c r="F15" s="76">
        <v>43009</v>
      </c>
      <c r="G15" s="133">
        <v>28</v>
      </c>
      <c r="H15" s="133" t="e">
        <v>#REF!</v>
      </c>
      <c r="I15" s="153">
        <f>VLOOKUP(A15,'attendance '!C14:AJ98,34,0)</f>
        <v>25</v>
      </c>
      <c r="J15" s="68">
        <v>5178.5714285714294</v>
      </c>
      <c r="K15" s="68">
        <v>0</v>
      </c>
      <c r="L15" s="68">
        <v>258.9285714285715</v>
      </c>
      <c r="M15" s="68"/>
      <c r="N15" s="68">
        <v>828.57142857142867</v>
      </c>
      <c r="O15" s="68"/>
      <c r="P15" s="68">
        <v>6542.6071428571431</v>
      </c>
      <c r="Q15" s="68"/>
      <c r="R15" s="68">
        <v>0</v>
      </c>
      <c r="S15" s="68">
        <v>419</v>
      </c>
      <c r="T15" s="68">
        <v>13227.678571428572</v>
      </c>
      <c r="U15" s="69">
        <v>621.42857142857144</v>
      </c>
      <c r="V15" s="69">
        <v>232</v>
      </c>
      <c r="W15" s="68">
        <v>0</v>
      </c>
      <c r="X15" s="68">
        <v>0</v>
      </c>
      <c r="Y15" s="68">
        <v>853.42857142857144</v>
      </c>
      <c r="Z15" s="68">
        <v>12374.250000000002</v>
      </c>
    </row>
    <row r="16" spans="1:26" x14ac:dyDescent="0.2">
      <c r="A16" s="74" t="s">
        <v>79</v>
      </c>
      <c r="B16" s="75">
        <v>11</v>
      </c>
      <c r="C16" s="75" t="s">
        <v>65</v>
      </c>
      <c r="D16" s="97" t="s">
        <v>50</v>
      </c>
      <c r="E16" s="97" t="s">
        <v>240</v>
      </c>
      <c r="F16" s="76">
        <v>43009</v>
      </c>
      <c r="G16" s="133">
        <v>28</v>
      </c>
      <c r="H16" s="133" t="e">
        <v>#REF!</v>
      </c>
      <c r="I16" s="153">
        <f>VLOOKUP(A16,'attendance '!C15:AJ99,34,0)</f>
        <v>28</v>
      </c>
      <c r="J16" s="68">
        <v>5714.2857142857147</v>
      </c>
      <c r="K16" s="68">
        <v>0</v>
      </c>
      <c r="L16" s="68">
        <v>285.71428571428572</v>
      </c>
      <c r="M16" s="68"/>
      <c r="N16" s="68">
        <v>914.28571428571433</v>
      </c>
      <c r="O16" s="68"/>
      <c r="P16" s="68">
        <v>6161.1428571428569</v>
      </c>
      <c r="Q16" s="68"/>
      <c r="R16" s="68">
        <v>0</v>
      </c>
      <c r="S16" s="68">
        <v>1547.7142857142862</v>
      </c>
      <c r="T16" s="68">
        <v>14623.142857142859</v>
      </c>
      <c r="U16" s="69">
        <v>685.71428571428578</v>
      </c>
      <c r="V16" s="69">
        <v>256</v>
      </c>
      <c r="W16" s="68">
        <v>0</v>
      </c>
      <c r="X16" s="68">
        <v>0</v>
      </c>
      <c r="Y16" s="68">
        <v>941.71428571428578</v>
      </c>
      <c r="Z16" s="68">
        <v>13681.428571428572</v>
      </c>
    </row>
    <row r="17" spans="1:26" ht="15" x14ac:dyDescent="0.25">
      <c r="A17" s="74" t="s">
        <v>82</v>
      </c>
      <c r="B17" s="75">
        <v>12</v>
      </c>
      <c r="C17" s="75" t="s">
        <v>34</v>
      </c>
      <c r="D17" s="97" t="s">
        <v>50</v>
      </c>
      <c r="E17" s="97" t="s">
        <v>1452</v>
      </c>
      <c r="F17" s="76">
        <v>43009</v>
      </c>
      <c r="G17" s="133">
        <v>28</v>
      </c>
      <c r="H17" s="133" t="e">
        <v>#REF!</v>
      </c>
      <c r="I17" s="154">
        <v>21</v>
      </c>
      <c r="J17" s="68">
        <v>4285.7142857142862</v>
      </c>
      <c r="K17" s="68">
        <v>0</v>
      </c>
      <c r="L17" s="68">
        <v>214.28571428571433</v>
      </c>
      <c r="M17" s="68"/>
      <c r="N17" s="68">
        <v>685.71428571428578</v>
      </c>
      <c r="O17" s="68"/>
      <c r="P17" s="68">
        <v>8834.5714285714275</v>
      </c>
      <c r="Q17" s="68"/>
      <c r="R17" s="68">
        <v>0</v>
      </c>
      <c r="S17" s="68">
        <v>0</v>
      </c>
      <c r="T17" s="68">
        <v>14020.285714285714</v>
      </c>
      <c r="U17" s="69">
        <v>514.28571428571433</v>
      </c>
      <c r="V17" s="69">
        <v>246</v>
      </c>
      <c r="W17" s="68">
        <v>0</v>
      </c>
      <c r="X17" s="68">
        <v>0</v>
      </c>
      <c r="Y17" s="68">
        <v>760.28571428571433</v>
      </c>
      <c r="Z17" s="68">
        <v>13260</v>
      </c>
    </row>
    <row r="18" spans="1:26" ht="15" x14ac:dyDescent="0.25">
      <c r="A18" s="74" t="s">
        <v>90</v>
      </c>
      <c r="B18" s="75">
        <v>13</v>
      </c>
      <c r="C18" s="75" t="s">
        <v>233</v>
      </c>
      <c r="D18" s="97" t="s">
        <v>50</v>
      </c>
      <c r="E18" s="97" t="s">
        <v>240</v>
      </c>
      <c r="F18" s="76">
        <v>43009</v>
      </c>
      <c r="G18" s="133">
        <v>28</v>
      </c>
      <c r="H18" s="133" t="e">
        <v>#REF!</v>
      </c>
      <c r="I18" s="154">
        <v>28</v>
      </c>
      <c r="J18" s="68">
        <v>5357.1428571428578</v>
      </c>
      <c r="K18" s="68">
        <v>0</v>
      </c>
      <c r="L18" s="68">
        <v>267.85714285714289</v>
      </c>
      <c r="M18" s="68"/>
      <c r="N18" s="68">
        <v>857.14285714285722</v>
      </c>
      <c r="O18" s="68"/>
      <c r="P18" s="68">
        <v>11043.214285714284</v>
      </c>
      <c r="Q18" s="68"/>
      <c r="R18" s="68">
        <v>0</v>
      </c>
      <c r="S18" s="68">
        <v>1125</v>
      </c>
      <c r="T18" s="68">
        <v>18650.357142857141</v>
      </c>
      <c r="U18" s="69">
        <v>642.85714285714289</v>
      </c>
      <c r="V18" s="69">
        <v>327</v>
      </c>
      <c r="W18" s="68">
        <v>0</v>
      </c>
      <c r="X18" s="68">
        <v>0</v>
      </c>
      <c r="Y18" s="68">
        <v>969.85714285714289</v>
      </c>
      <c r="Z18" s="68">
        <v>17680.5</v>
      </c>
    </row>
    <row r="19" spans="1:26" x14ac:dyDescent="0.2">
      <c r="A19" s="74" t="s">
        <v>92</v>
      </c>
      <c r="B19" s="75">
        <v>14</v>
      </c>
      <c r="C19" s="75" t="s">
        <v>72</v>
      </c>
      <c r="D19" s="97" t="s">
        <v>50</v>
      </c>
      <c r="E19" s="97" t="s">
        <v>484</v>
      </c>
      <c r="F19" s="76">
        <v>43009</v>
      </c>
      <c r="G19" s="133">
        <v>28</v>
      </c>
      <c r="H19" s="133" t="e">
        <v>#REF!</v>
      </c>
      <c r="I19" s="153">
        <f>VLOOKUP(A19,'attendance '!C18:AJ102,34,0)</f>
        <v>26</v>
      </c>
      <c r="J19" s="68">
        <v>5178.5714285714294</v>
      </c>
      <c r="K19" s="68">
        <v>0</v>
      </c>
      <c r="L19" s="68">
        <v>258.9285714285715</v>
      </c>
      <c r="M19" s="68"/>
      <c r="N19" s="68">
        <v>828.57142857142867</v>
      </c>
      <c r="O19" s="68"/>
      <c r="P19" s="68">
        <v>5435.4285714285706</v>
      </c>
      <c r="Q19" s="68"/>
      <c r="R19" s="68">
        <v>0</v>
      </c>
      <c r="S19" s="68">
        <v>382.07142857142935</v>
      </c>
      <c r="T19" s="68">
        <v>12083.571428571429</v>
      </c>
      <c r="U19" s="69">
        <v>621.42857142857144</v>
      </c>
      <c r="V19" s="69">
        <v>212</v>
      </c>
      <c r="W19" s="68">
        <v>0</v>
      </c>
      <c r="X19" s="68">
        <v>0</v>
      </c>
      <c r="Y19" s="68">
        <v>833.42857142857144</v>
      </c>
      <c r="Z19" s="68">
        <v>11250.142857142859</v>
      </c>
    </row>
    <row r="20" spans="1:26" x14ac:dyDescent="0.2">
      <c r="A20" s="74" t="s">
        <v>100</v>
      </c>
      <c r="B20" s="75">
        <v>15</v>
      </c>
      <c r="C20" s="75" t="s">
        <v>84</v>
      </c>
      <c r="D20" s="97" t="s">
        <v>50</v>
      </c>
      <c r="E20" s="97" t="s">
        <v>239</v>
      </c>
      <c r="F20" s="76">
        <v>43009</v>
      </c>
      <c r="G20" s="133">
        <v>28</v>
      </c>
      <c r="H20" s="133" t="e">
        <v>#REF!</v>
      </c>
      <c r="I20" s="153">
        <f>VLOOKUP(A20,'attendance '!C19:AJ103,34,0)</f>
        <v>25</v>
      </c>
      <c r="J20" s="68">
        <v>5000</v>
      </c>
      <c r="K20" s="68">
        <v>0</v>
      </c>
      <c r="L20" s="68">
        <v>250</v>
      </c>
      <c r="M20" s="68"/>
      <c r="N20" s="68">
        <v>800</v>
      </c>
      <c r="O20" s="68"/>
      <c r="P20" s="68">
        <v>5197</v>
      </c>
      <c r="Q20" s="68"/>
      <c r="R20" s="68">
        <v>0</v>
      </c>
      <c r="S20" s="68">
        <v>0</v>
      </c>
      <c r="T20" s="68">
        <v>11247</v>
      </c>
      <c r="U20" s="69">
        <v>600</v>
      </c>
      <c r="V20" s="69">
        <v>197</v>
      </c>
      <c r="W20" s="68">
        <v>0</v>
      </c>
      <c r="X20" s="68">
        <v>0</v>
      </c>
      <c r="Y20" s="68">
        <v>797</v>
      </c>
      <c r="Z20" s="68">
        <v>10450</v>
      </c>
    </row>
    <row r="21" spans="1:26" x14ac:dyDescent="0.2">
      <c r="A21" s="74" t="s">
        <v>101</v>
      </c>
      <c r="B21" s="75">
        <v>16</v>
      </c>
      <c r="C21" s="75" t="s">
        <v>85</v>
      </c>
      <c r="D21" s="97" t="s">
        <v>50</v>
      </c>
      <c r="E21" s="97" t="s">
        <v>241</v>
      </c>
      <c r="F21" s="76">
        <v>43009</v>
      </c>
      <c r="G21" s="133">
        <v>28</v>
      </c>
      <c r="H21" s="133" t="e">
        <v>#REF!</v>
      </c>
      <c r="I21" s="153">
        <f>VLOOKUP(A21,'attendance '!C20:AJ104,34,0)</f>
        <v>28</v>
      </c>
      <c r="J21" s="68">
        <v>5714.2857142857147</v>
      </c>
      <c r="K21" s="68">
        <v>0</v>
      </c>
      <c r="L21" s="68">
        <v>285.71428571428572</v>
      </c>
      <c r="M21" s="68"/>
      <c r="N21" s="68">
        <v>914.28571428571433</v>
      </c>
      <c r="O21" s="68"/>
      <c r="P21" s="68">
        <v>6492.5714285714284</v>
      </c>
      <c r="Q21" s="68"/>
      <c r="R21" s="68">
        <v>0</v>
      </c>
      <c r="S21" s="68">
        <v>1589.1428571428569</v>
      </c>
      <c r="T21" s="68">
        <v>14996</v>
      </c>
      <c r="U21" s="69">
        <v>685.71428571428578</v>
      </c>
      <c r="V21" s="69">
        <v>263</v>
      </c>
      <c r="W21" s="68">
        <v>0</v>
      </c>
      <c r="X21" s="68">
        <v>0</v>
      </c>
      <c r="Y21" s="68">
        <v>948.71428571428578</v>
      </c>
      <c r="Z21" s="68">
        <v>14047.285714285714</v>
      </c>
    </row>
    <row r="22" spans="1:26" x14ac:dyDescent="0.2">
      <c r="A22" s="74" t="s">
        <v>102</v>
      </c>
      <c r="B22" s="75">
        <v>17</v>
      </c>
      <c r="C22" s="75" t="s">
        <v>86</v>
      </c>
      <c r="D22" s="97" t="s">
        <v>50</v>
      </c>
      <c r="E22" s="97" t="s">
        <v>242</v>
      </c>
      <c r="F22" s="76">
        <v>43009</v>
      </c>
      <c r="G22" s="133">
        <v>28</v>
      </c>
      <c r="H22" s="133" t="e">
        <v>#REF!</v>
      </c>
      <c r="I22" s="153">
        <f>VLOOKUP(A22,'attendance '!C21:AJ105,34,0)</f>
        <v>28</v>
      </c>
      <c r="J22" s="68">
        <v>5714.2857142857147</v>
      </c>
      <c r="K22" s="68">
        <v>0</v>
      </c>
      <c r="L22" s="68">
        <v>285.71428571428572</v>
      </c>
      <c r="M22" s="68"/>
      <c r="N22" s="68">
        <v>914.28571428571433</v>
      </c>
      <c r="O22" s="68"/>
      <c r="P22" s="68">
        <v>5939.4285714285716</v>
      </c>
      <c r="Q22" s="68"/>
      <c r="R22" s="68">
        <v>0</v>
      </c>
      <c r="S22" s="68">
        <v>1520</v>
      </c>
      <c r="T22" s="68">
        <v>14373.714285714286</v>
      </c>
      <c r="U22" s="69">
        <v>685.71428571428578</v>
      </c>
      <c r="V22" s="69">
        <v>252</v>
      </c>
      <c r="W22" s="68">
        <v>0</v>
      </c>
      <c r="X22" s="68">
        <v>0</v>
      </c>
      <c r="Y22" s="68">
        <v>937.71428571428578</v>
      </c>
      <c r="Z22" s="68">
        <v>13436</v>
      </c>
    </row>
    <row r="23" spans="1:26" x14ac:dyDescent="0.2">
      <c r="A23" s="74" t="s">
        <v>117</v>
      </c>
      <c r="B23" s="75">
        <v>18</v>
      </c>
      <c r="C23" s="75" t="s">
        <v>113</v>
      </c>
      <c r="D23" s="97" t="s">
        <v>50</v>
      </c>
      <c r="E23" s="97" t="s">
        <v>234</v>
      </c>
      <c r="F23" s="76">
        <v>43009</v>
      </c>
      <c r="G23" s="133">
        <v>28</v>
      </c>
      <c r="H23" s="133" t="e">
        <v>#REF!</v>
      </c>
      <c r="I23" s="153">
        <f>VLOOKUP(A23,'attendance '!C22:AJ106,34,0)</f>
        <v>27</v>
      </c>
      <c r="J23" s="68">
        <v>5357.1428571428578</v>
      </c>
      <c r="K23" s="68">
        <v>0</v>
      </c>
      <c r="L23" s="68">
        <v>267.85714285714289</v>
      </c>
      <c r="M23" s="68"/>
      <c r="N23" s="68">
        <v>857.14285714285722</v>
      </c>
      <c r="O23" s="68"/>
      <c r="P23" s="68">
        <v>7340.3571428571422</v>
      </c>
      <c r="Q23" s="68"/>
      <c r="R23" s="68">
        <v>0</v>
      </c>
      <c r="S23" s="68">
        <v>878.64285714285688</v>
      </c>
      <c r="T23" s="68">
        <v>14701.142857142857</v>
      </c>
      <c r="U23" s="69">
        <v>642.85714285714289</v>
      </c>
      <c r="V23" s="69">
        <v>258</v>
      </c>
      <c r="W23" s="68">
        <v>0</v>
      </c>
      <c r="X23" s="68">
        <v>0</v>
      </c>
      <c r="Y23" s="68">
        <v>900.85714285714289</v>
      </c>
      <c r="Z23" s="68">
        <v>13800.285714285714</v>
      </c>
    </row>
    <row r="24" spans="1:26" x14ac:dyDescent="0.2">
      <c r="A24" s="74" t="s">
        <v>604</v>
      </c>
      <c r="B24" s="75">
        <v>19</v>
      </c>
      <c r="C24" s="75" t="s">
        <v>371</v>
      </c>
      <c r="D24" s="97" t="s">
        <v>50</v>
      </c>
      <c r="E24" s="97" t="s">
        <v>234</v>
      </c>
      <c r="F24" s="76">
        <v>43009</v>
      </c>
      <c r="G24" s="133">
        <v>28</v>
      </c>
      <c r="H24" s="133" t="e">
        <v>#REF!</v>
      </c>
      <c r="I24" s="153">
        <f>VLOOKUP(A24,'attendance '!C23:AJ107,34,0)</f>
        <v>24</v>
      </c>
      <c r="J24" s="68">
        <v>5000</v>
      </c>
      <c r="K24" s="68">
        <v>0</v>
      </c>
      <c r="L24" s="68">
        <v>250</v>
      </c>
      <c r="M24" s="68"/>
      <c r="N24" s="68">
        <v>800</v>
      </c>
      <c r="O24" s="68"/>
      <c r="P24" s="68">
        <v>6317</v>
      </c>
      <c r="Q24" s="68"/>
      <c r="R24" s="68">
        <v>0</v>
      </c>
      <c r="S24" s="68">
        <v>0</v>
      </c>
      <c r="T24" s="68">
        <v>12367</v>
      </c>
      <c r="U24" s="69">
        <v>600</v>
      </c>
      <c r="V24" s="69">
        <v>217</v>
      </c>
      <c r="W24" s="68">
        <v>0</v>
      </c>
      <c r="X24" s="68">
        <v>0</v>
      </c>
      <c r="Y24" s="68">
        <v>817</v>
      </c>
      <c r="Z24" s="68">
        <v>11550</v>
      </c>
    </row>
    <row r="25" spans="1:26" x14ac:dyDescent="0.2">
      <c r="A25" s="74" t="s">
        <v>353</v>
      </c>
      <c r="B25" s="75">
        <v>20</v>
      </c>
      <c r="C25" s="75" t="s">
        <v>579</v>
      </c>
      <c r="D25" s="97" t="s">
        <v>50</v>
      </c>
      <c r="E25" s="97" t="s">
        <v>239</v>
      </c>
      <c r="F25" s="76">
        <v>43009</v>
      </c>
      <c r="G25" s="133">
        <v>28</v>
      </c>
      <c r="H25" s="133" t="e">
        <v>#REF!</v>
      </c>
      <c r="I25" s="153">
        <f>VLOOKUP(A25,'attendance '!C24:AJ108,34,0)</f>
        <v>26</v>
      </c>
      <c r="J25" s="68">
        <v>5178.5714285714294</v>
      </c>
      <c r="K25" s="68">
        <v>0</v>
      </c>
      <c r="L25" s="68">
        <v>258.9285714285715</v>
      </c>
      <c r="M25" s="68"/>
      <c r="N25" s="68">
        <v>828.57142857142867</v>
      </c>
      <c r="O25" s="68"/>
      <c r="P25" s="68">
        <v>5435.4285714285706</v>
      </c>
      <c r="Q25" s="68"/>
      <c r="R25" s="68">
        <v>0</v>
      </c>
      <c r="S25" s="68">
        <v>382.07142857142935</v>
      </c>
      <c r="T25" s="68">
        <v>12083.571428571429</v>
      </c>
      <c r="U25" s="69">
        <v>621.42857142857144</v>
      </c>
      <c r="V25" s="69">
        <v>212</v>
      </c>
      <c r="W25" s="68">
        <v>0</v>
      </c>
      <c r="X25" s="68">
        <v>0</v>
      </c>
      <c r="Y25" s="68">
        <v>833.42857142857144</v>
      </c>
      <c r="Z25" s="68">
        <v>11250.142857142859</v>
      </c>
    </row>
    <row r="26" spans="1:26" x14ac:dyDescent="0.2">
      <c r="A26" s="74" t="s">
        <v>141</v>
      </c>
      <c r="B26" s="75">
        <v>21</v>
      </c>
      <c r="C26" s="75" t="s">
        <v>128</v>
      </c>
      <c r="D26" s="97" t="s">
        <v>50</v>
      </c>
      <c r="E26" s="97" t="s">
        <v>484</v>
      </c>
      <c r="F26" s="76">
        <v>43009</v>
      </c>
      <c r="G26" s="133">
        <v>28</v>
      </c>
      <c r="H26" s="133" t="e">
        <v>#REF!</v>
      </c>
      <c r="I26" s="153">
        <f>VLOOKUP(A26,'attendance '!C25:AJ109,34,0)</f>
        <v>23</v>
      </c>
      <c r="J26" s="68">
        <v>4642.8571428571431</v>
      </c>
      <c r="K26" s="68">
        <v>0</v>
      </c>
      <c r="L26" s="68">
        <v>232.14285714285717</v>
      </c>
      <c r="M26" s="68"/>
      <c r="N26" s="68">
        <v>742.85714285714289</v>
      </c>
      <c r="O26" s="68"/>
      <c r="P26" s="68">
        <v>5275.2142857142853</v>
      </c>
      <c r="Q26" s="68"/>
      <c r="R26" s="68">
        <v>0</v>
      </c>
      <c r="S26" s="68">
        <v>0</v>
      </c>
      <c r="T26" s="68">
        <v>10893.071428571428</v>
      </c>
      <c r="U26" s="69">
        <v>557.14285714285711</v>
      </c>
      <c r="V26" s="69">
        <v>191</v>
      </c>
      <c r="W26" s="68">
        <v>0</v>
      </c>
      <c r="X26" s="68">
        <v>0</v>
      </c>
      <c r="Y26" s="68">
        <v>748.14285714285711</v>
      </c>
      <c r="Z26" s="68">
        <v>10144.928571428571</v>
      </c>
    </row>
    <row r="27" spans="1:26" x14ac:dyDescent="0.2">
      <c r="A27" s="74" t="s">
        <v>219</v>
      </c>
      <c r="B27" s="75">
        <v>22</v>
      </c>
      <c r="C27" s="75" t="s">
        <v>1711</v>
      </c>
      <c r="D27" s="97" t="s">
        <v>50</v>
      </c>
      <c r="E27" s="97" t="s">
        <v>234</v>
      </c>
      <c r="F27" s="76">
        <v>43009</v>
      </c>
      <c r="G27" s="133">
        <v>28</v>
      </c>
      <c r="H27" s="133" t="e">
        <v>#REF!</v>
      </c>
      <c r="I27" s="153">
        <f>VLOOKUP(A27,'attendance '!C26:AJ110,34,0)</f>
        <v>13.5</v>
      </c>
      <c r="J27" s="68">
        <v>2767.8571428571431</v>
      </c>
      <c r="K27" s="68">
        <v>0</v>
      </c>
      <c r="L27" s="68">
        <v>138.39285714285717</v>
      </c>
      <c r="M27" s="68"/>
      <c r="N27" s="68">
        <v>442.85714285714289</v>
      </c>
      <c r="O27" s="68"/>
      <c r="P27" s="68">
        <v>3496.9107142857142</v>
      </c>
      <c r="Q27" s="68">
        <v>0</v>
      </c>
      <c r="R27" s="68">
        <v>0</v>
      </c>
      <c r="S27" s="68">
        <v>0</v>
      </c>
      <c r="T27" s="68">
        <v>6846.0178571428569</v>
      </c>
      <c r="U27" s="69">
        <v>332.14285714285717</v>
      </c>
      <c r="V27" s="69">
        <v>120</v>
      </c>
      <c r="W27" s="68">
        <v>0</v>
      </c>
      <c r="X27" s="68">
        <v>0</v>
      </c>
      <c r="Y27" s="68">
        <v>452.14285714285717</v>
      </c>
      <c r="Z27" s="68">
        <v>6393.875</v>
      </c>
    </row>
    <row r="28" spans="1:26" x14ac:dyDescent="0.2">
      <c r="A28" s="74" t="s">
        <v>333</v>
      </c>
      <c r="B28" s="75">
        <v>23</v>
      </c>
      <c r="C28" s="75" t="s">
        <v>738</v>
      </c>
      <c r="D28" s="97" t="s">
        <v>50</v>
      </c>
      <c r="E28" s="97" t="s">
        <v>234</v>
      </c>
      <c r="F28" s="76">
        <v>43009</v>
      </c>
      <c r="G28" s="133">
        <v>28</v>
      </c>
      <c r="H28" s="133" t="e">
        <v>#REF!</v>
      </c>
      <c r="I28" s="153">
        <f>VLOOKUP(A28,'attendance '!C27:AJ111,34,0)</f>
        <v>28</v>
      </c>
      <c r="J28" s="68">
        <v>5714.2857142857147</v>
      </c>
      <c r="K28" s="68">
        <v>0</v>
      </c>
      <c r="L28" s="68">
        <v>285.71428571428572</v>
      </c>
      <c r="M28" s="68"/>
      <c r="N28" s="68">
        <v>914.28571428571433</v>
      </c>
      <c r="O28" s="68"/>
      <c r="P28" s="68">
        <v>7219.4285714285716</v>
      </c>
      <c r="Q28" s="68"/>
      <c r="R28" s="68">
        <v>0</v>
      </c>
      <c r="S28" s="68">
        <v>1679</v>
      </c>
      <c r="T28" s="68">
        <v>15812.714285714286</v>
      </c>
      <c r="U28" s="69">
        <v>685.71428571428578</v>
      </c>
      <c r="V28" s="69">
        <v>277</v>
      </c>
      <c r="W28" s="68">
        <v>0</v>
      </c>
      <c r="X28" s="68">
        <v>0</v>
      </c>
      <c r="Y28" s="68">
        <v>962.71428571428578</v>
      </c>
      <c r="Z28" s="68">
        <v>14850</v>
      </c>
    </row>
    <row r="29" spans="1:26" x14ac:dyDescent="0.2">
      <c r="A29" s="74" t="s">
        <v>159</v>
      </c>
      <c r="B29" s="75">
        <v>24</v>
      </c>
      <c r="C29" s="75" t="s">
        <v>135</v>
      </c>
      <c r="D29" s="97" t="s">
        <v>50</v>
      </c>
      <c r="E29" s="97" t="s">
        <v>241</v>
      </c>
      <c r="F29" s="76">
        <v>43009</v>
      </c>
      <c r="G29" s="133">
        <v>28</v>
      </c>
      <c r="H29" s="133" t="e">
        <v>#REF!</v>
      </c>
      <c r="I29" s="153">
        <f>VLOOKUP(A29,'attendance '!C28:AJ112,34,0)</f>
        <v>18</v>
      </c>
      <c r="J29" s="68">
        <v>3750.0000000000005</v>
      </c>
      <c r="K29" s="68">
        <v>0</v>
      </c>
      <c r="L29" s="68">
        <v>187.50000000000003</v>
      </c>
      <c r="M29" s="68"/>
      <c r="N29" s="68">
        <v>600</v>
      </c>
      <c r="O29" s="68"/>
      <c r="P29" s="68">
        <v>7844.25</v>
      </c>
      <c r="Q29" s="68"/>
      <c r="R29" s="68">
        <v>0</v>
      </c>
      <c r="S29" s="68">
        <v>0</v>
      </c>
      <c r="T29" s="68">
        <v>12381.75</v>
      </c>
      <c r="U29" s="69">
        <v>450.00000000000006</v>
      </c>
      <c r="V29" s="69">
        <v>217</v>
      </c>
      <c r="W29" s="68">
        <v>0</v>
      </c>
      <c r="X29" s="68">
        <v>0</v>
      </c>
      <c r="Y29" s="68">
        <v>667</v>
      </c>
      <c r="Z29" s="68">
        <v>11714.75</v>
      </c>
    </row>
    <row r="30" spans="1:26" x14ac:dyDescent="0.2">
      <c r="A30" s="74" t="s">
        <v>160</v>
      </c>
      <c r="B30" s="75">
        <v>25</v>
      </c>
      <c r="C30" s="75" t="s">
        <v>198</v>
      </c>
      <c r="D30" s="97" t="s">
        <v>50</v>
      </c>
      <c r="E30" s="97" t="s">
        <v>240</v>
      </c>
      <c r="F30" s="76">
        <v>43009</v>
      </c>
      <c r="G30" s="133">
        <v>28</v>
      </c>
      <c r="H30" s="133" t="e">
        <v>#REF!</v>
      </c>
      <c r="I30" s="153">
        <v>28</v>
      </c>
      <c r="J30" s="68">
        <v>5178.5714285714294</v>
      </c>
      <c r="K30" s="68">
        <v>0</v>
      </c>
      <c r="L30" s="68">
        <v>258.9285714285715</v>
      </c>
      <c r="M30" s="68"/>
      <c r="N30" s="68">
        <v>828.57142857142867</v>
      </c>
      <c r="O30" s="68"/>
      <c r="P30" s="68">
        <v>9441.5714285714275</v>
      </c>
      <c r="Q30" s="68"/>
      <c r="R30" s="68">
        <v>0</v>
      </c>
      <c r="S30" s="68">
        <v>520.21428571428623</v>
      </c>
      <c r="T30" s="68">
        <v>16227.857142857143</v>
      </c>
      <c r="U30" s="69">
        <v>621.42857142857144</v>
      </c>
      <c r="V30" s="69">
        <v>284</v>
      </c>
      <c r="W30" s="68">
        <v>0</v>
      </c>
      <c r="X30" s="68">
        <v>0</v>
      </c>
      <c r="Y30" s="68">
        <v>905.42857142857144</v>
      </c>
      <c r="Z30" s="68">
        <v>15322.428571428572</v>
      </c>
    </row>
    <row r="31" spans="1:26" x14ac:dyDescent="0.2">
      <c r="A31" s="74" t="s">
        <v>161</v>
      </c>
      <c r="B31" s="75">
        <v>26</v>
      </c>
      <c r="C31" s="75" t="s">
        <v>203</v>
      </c>
      <c r="D31" s="97" t="s">
        <v>50</v>
      </c>
      <c r="E31" s="97" t="s">
        <v>241</v>
      </c>
      <c r="F31" s="76">
        <v>43009</v>
      </c>
      <c r="G31" s="133">
        <v>28</v>
      </c>
      <c r="H31" s="133" t="e">
        <v>#REF!</v>
      </c>
      <c r="I31" s="153">
        <f>VLOOKUP(A31,'attendance '!C30:AJ114,34,0)</f>
        <v>27</v>
      </c>
      <c r="J31" s="68">
        <v>5535.7142857142862</v>
      </c>
      <c r="K31" s="68">
        <v>0</v>
      </c>
      <c r="L31" s="68">
        <v>276.78571428571433</v>
      </c>
      <c r="M31" s="68"/>
      <c r="N31" s="68">
        <v>885.71428571428578</v>
      </c>
      <c r="O31" s="68"/>
      <c r="P31" s="68">
        <v>5968.6071428571422</v>
      </c>
      <c r="Q31" s="68"/>
      <c r="R31" s="68">
        <v>0</v>
      </c>
      <c r="S31" s="68">
        <v>1160.5357142857138</v>
      </c>
      <c r="T31" s="68">
        <v>13827.357142857141</v>
      </c>
      <c r="U31" s="69">
        <v>664.28571428571433</v>
      </c>
      <c r="V31" s="69">
        <v>242</v>
      </c>
      <c r="W31" s="68">
        <v>0</v>
      </c>
      <c r="X31" s="68">
        <v>0</v>
      </c>
      <c r="Y31" s="68">
        <v>906.28571428571433</v>
      </c>
      <c r="Z31" s="68">
        <v>12921.071428571428</v>
      </c>
    </row>
    <row r="32" spans="1:26" x14ac:dyDescent="0.2">
      <c r="A32" s="74" t="s">
        <v>163</v>
      </c>
      <c r="B32" s="75">
        <v>27</v>
      </c>
      <c r="C32" s="75" t="s">
        <v>137</v>
      </c>
      <c r="D32" s="97" t="s">
        <v>50</v>
      </c>
      <c r="E32" s="97" t="s">
        <v>232</v>
      </c>
      <c r="F32" s="76">
        <v>43009</v>
      </c>
      <c r="G32" s="133">
        <v>28</v>
      </c>
      <c r="H32" s="133" t="e">
        <v>#REF!</v>
      </c>
      <c r="I32" s="153">
        <f>VLOOKUP(A32,'attendance '!C31:AJ115,34,0)</f>
        <v>28</v>
      </c>
      <c r="J32" s="68">
        <v>5000</v>
      </c>
      <c r="K32" s="68">
        <v>0</v>
      </c>
      <c r="L32" s="68">
        <v>250</v>
      </c>
      <c r="M32" s="68"/>
      <c r="N32" s="68">
        <v>800</v>
      </c>
      <c r="O32" s="68"/>
      <c r="P32" s="68">
        <v>6531</v>
      </c>
      <c r="Q32" s="68"/>
      <c r="R32" s="68">
        <v>0</v>
      </c>
      <c r="S32" s="68">
        <v>0</v>
      </c>
      <c r="T32" s="68">
        <v>12581</v>
      </c>
      <c r="U32" s="69">
        <v>600</v>
      </c>
      <c r="V32" s="69">
        <v>221</v>
      </c>
      <c r="W32" s="68">
        <v>0</v>
      </c>
      <c r="X32" s="68">
        <v>0</v>
      </c>
      <c r="Y32" s="68">
        <v>821</v>
      </c>
      <c r="Z32" s="68">
        <v>11760</v>
      </c>
    </row>
    <row r="33" spans="1:26" x14ac:dyDescent="0.2">
      <c r="A33" s="74" t="s">
        <v>183</v>
      </c>
      <c r="B33" s="75">
        <v>28</v>
      </c>
      <c r="C33" s="75" t="s">
        <v>150</v>
      </c>
      <c r="D33" s="97" t="s">
        <v>50</v>
      </c>
      <c r="E33" s="97" t="s">
        <v>234</v>
      </c>
      <c r="F33" s="76">
        <v>43009</v>
      </c>
      <c r="G33" s="133">
        <v>28</v>
      </c>
      <c r="H33" s="133" t="e">
        <v>#REF!</v>
      </c>
      <c r="I33" s="153">
        <v>28</v>
      </c>
      <c r="J33" s="68">
        <v>5714.2857142857147</v>
      </c>
      <c r="K33" s="68">
        <v>0</v>
      </c>
      <c r="L33" s="68">
        <v>285.71428571428572</v>
      </c>
      <c r="M33" s="68"/>
      <c r="N33" s="68">
        <v>914.28571428571433</v>
      </c>
      <c r="O33" s="68"/>
      <c r="P33" s="68">
        <v>8097.1428571428569</v>
      </c>
      <c r="Q33" s="68"/>
      <c r="R33" s="68">
        <v>0</v>
      </c>
      <c r="S33" s="68">
        <v>1790</v>
      </c>
      <c r="T33" s="68">
        <v>16801.428571428572</v>
      </c>
      <c r="U33" s="69">
        <v>685.71428571428578</v>
      </c>
      <c r="V33" s="69">
        <v>295</v>
      </c>
      <c r="W33" s="68">
        <v>0</v>
      </c>
      <c r="X33" s="68">
        <v>0</v>
      </c>
      <c r="Y33" s="68">
        <v>980.71428571428578</v>
      </c>
      <c r="Z33" s="68">
        <v>15820.714285714286</v>
      </c>
    </row>
    <row r="34" spans="1:26" x14ac:dyDescent="0.2">
      <c r="A34" s="74" t="s">
        <v>185</v>
      </c>
      <c r="B34" s="75">
        <v>29</v>
      </c>
      <c r="C34" s="75" t="s">
        <v>152</v>
      </c>
      <c r="D34" s="97" t="s">
        <v>50</v>
      </c>
      <c r="E34" s="97" t="s">
        <v>234</v>
      </c>
      <c r="F34" s="76">
        <v>43009</v>
      </c>
      <c r="G34" s="133">
        <v>28</v>
      </c>
      <c r="H34" s="133" t="e">
        <v>#REF!</v>
      </c>
      <c r="I34" s="153">
        <f>VLOOKUP(A34,'attendance '!C33:AJ117,34,0)</f>
        <v>25</v>
      </c>
      <c r="J34" s="68">
        <v>5000</v>
      </c>
      <c r="K34" s="68">
        <v>0</v>
      </c>
      <c r="L34" s="68">
        <v>250</v>
      </c>
      <c r="M34" s="68"/>
      <c r="N34" s="68">
        <v>800</v>
      </c>
      <c r="O34" s="68"/>
      <c r="P34" s="68">
        <v>6317</v>
      </c>
      <c r="Q34" s="68"/>
      <c r="R34" s="68">
        <v>0</v>
      </c>
      <c r="S34" s="68">
        <v>0</v>
      </c>
      <c r="T34" s="68">
        <v>12367</v>
      </c>
      <c r="U34" s="69">
        <v>600</v>
      </c>
      <c r="V34" s="69">
        <v>217</v>
      </c>
      <c r="W34" s="68">
        <v>0</v>
      </c>
      <c r="X34" s="68">
        <v>0</v>
      </c>
      <c r="Y34" s="68">
        <v>817</v>
      </c>
      <c r="Z34" s="68">
        <v>11550</v>
      </c>
    </row>
    <row r="35" spans="1:26" x14ac:dyDescent="0.2">
      <c r="A35" s="74" t="s">
        <v>186</v>
      </c>
      <c r="B35" s="75">
        <v>30</v>
      </c>
      <c r="C35" s="75" t="s">
        <v>174</v>
      </c>
      <c r="D35" s="97" t="s">
        <v>50</v>
      </c>
      <c r="E35" s="97" t="s">
        <v>238</v>
      </c>
      <c r="F35" s="76">
        <v>43009</v>
      </c>
      <c r="G35" s="133">
        <v>28</v>
      </c>
      <c r="H35" s="133" t="e">
        <v>#REF!</v>
      </c>
      <c r="I35" s="153">
        <f>VLOOKUP(A35,'attendance '!C34:AJ118,34,0)</f>
        <v>27</v>
      </c>
      <c r="J35" s="68">
        <v>5535.7142857142862</v>
      </c>
      <c r="K35" s="68">
        <v>0</v>
      </c>
      <c r="L35" s="68">
        <v>276.78571428571433</v>
      </c>
      <c r="M35" s="68"/>
      <c r="N35" s="68">
        <v>885.71428571428578</v>
      </c>
      <c r="O35" s="68"/>
      <c r="P35" s="68">
        <v>5810.2857142857138</v>
      </c>
      <c r="Q35" s="68"/>
      <c r="R35" s="68">
        <v>0</v>
      </c>
      <c r="S35" s="68">
        <v>1145.2142857142862</v>
      </c>
      <c r="T35" s="68">
        <v>13653.714285714286</v>
      </c>
      <c r="U35" s="69">
        <v>664.28571428571433</v>
      </c>
      <c r="V35" s="69">
        <v>239</v>
      </c>
      <c r="W35" s="68">
        <v>0</v>
      </c>
      <c r="X35" s="68">
        <v>0</v>
      </c>
      <c r="Y35" s="68">
        <v>903.28571428571433</v>
      </c>
      <c r="Z35" s="68">
        <v>12750.428571428572</v>
      </c>
    </row>
    <row r="36" spans="1:26" x14ac:dyDescent="0.2">
      <c r="A36" s="74" t="s">
        <v>187</v>
      </c>
      <c r="B36" s="75">
        <v>31</v>
      </c>
      <c r="C36" s="75" t="s">
        <v>430</v>
      </c>
      <c r="D36" s="97" t="s">
        <v>50</v>
      </c>
      <c r="E36" s="97" t="s">
        <v>234</v>
      </c>
      <c r="F36" s="76">
        <v>43009</v>
      </c>
      <c r="G36" s="133">
        <v>28</v>
      </c>
      <c r="H36" s="133" t="e">
        <v>#REF!</v>
      </c>
      <c r="I36" s="153">
        <f>VLOOKUP(A36,'attendance '!C35:AJ119,34,0)</f>
        <v>28</v>
      </c>
      <c r="J36" s="68">
        <v>5535.7142857142862</v>
      </c>
      <c r="K36" s="68">
        <v>0</v>
      </c>
      <c r="L36" s="68">
        <v>276.78571428571433</v>
      </c>
      <c r="M36" s="68"/>
      <c r="N36" s="68">
        <v>885.71428571428578</v>
      </c>
      <c r="O36" s="68"/>
      <c r="P36" s="68">
        <v>7585.0357142857138</v>
      </c>
      <c r="Q36" s="68"/>
      <c r="R36" s="68">
        <v>0</v>
      </c>
      <c r="S36" s="68">
        <v>1316.9642857142862</v>
      </c>
      <c r="T36" s="68">
        <v>15600.214285714286</v>
      </c>
      <c r="U36" s="69">
        <v>664.28571428571433</v>
      </c>
      <c r="V36" s="69">
        <v>274</v>
      </c>
      <c r="W36" s="68">
        <v>0</v>
      </c>
      <c r="X36" s="68">
        <v>0</v>
      </c>
      <c r="Y36" s="68">
        <v>938.28571428571433</v>
      </c>
      <c r="Z36" s="68">
        <v>14661.928571428572</v>
      </c>
    </row>
    <row r="37" spans="1:26" x14ac:dyDescent="0.2">
      <c r="A37" s="74" t="s">
        <v>188</v>
      </c>
      <c r="B37" s="75">
        <v>32</v>
      </c>
      <c r="C37" s="75" t="s">
        <v>153</v>
      </c>
      <c r="D37" s="97" t="s">
        <v>50</v>
      </c>
      <c r="E37" s="97" t="s">
        <v>232</v>
      </c>
      <c r="F37" s="76">
        <v>43009</v>
      </c>
      <c r="G37" s="133">
        <v>28</v>
      </c>
      <c r="H37" s="133" t="e">
        <v>#REF!</v>
      </c>
      <c r="I37" s="153">
        <f>VLOOKUP(A37,'attendance '!C36:AJ120,34,0)</f>
        <v>26</v>
      </c>
      <c r="J37" s="68">
        <v>5178.5714285714294</v>
      </c>
      <c r="K37" s="68">
        <v>0</v>
      </c>
      <c r="L37" s="68">
        <v>258.9285714285715</v>
      </c>
      <c r="M37" s="68"/>
      <c r="N37" s="68">
        <v>828.57142857142867</v>
      </c>
      <c r="O37" s="68"/>
      <c r="P37" s="68">
        <v>6764.25</v>
      </c>
      <c r="Q37" s="68"/>
      <c r="R37" s="68">
        <v>0</v>
      </c>
      <c r="S37" s="68">
        <v>427</v>
      </c>
      <c r="T37" s="68">
        <v>13457.321428571429</v>
      </c>
      <c r="U37" s="69">
        <v>621.42857142857144</v>
      </c>
      <c r="V37" s="69">
        <v>236</v>
      </c>
      <c r="W37" s="68">
        <v>0</v>
      </c>
      <c r="X37" s="68">
        <v>0</v>
      </c>
      <c r="Y37" s="68">
        <v>857.42857142857144</v>
      </c>
      <c r="Z37" s="68">
        <v>12599.892857142859</v>
      </c>
    </row>
    <row r="38" spans="1:26" x14ac:dyDescent="0.2">
      <c r="A38" s="74" t="s">
        <v>189</v>
      </c>
      <c r="B38" s="75">
        <v>33</v>
      </c>
      <c r="C38" s="75" t="s">
        <v>488</v>
      </c>
      <c r="D38" s="97" t="s">
        <v>50</v>
      </c>
      <c r="E38" s="97" t="s">
        <v>237</v>
      </c>
      <c r="F38" s="76">
        <v>43009</v>
      </c>
      <c r="G38" s="133">
        <v>28</v>
      </c>
      <c r="H38" s="133" t="e">
        <v>#REF!</v>
      </c>
      <c r="I38" s="153">
        <f>VLOOKUP(A38,'attendance '!C37:AJ121,34,0)</f>
        <v>28</v>
      </c>
      <c r="J38" s="68">
        <v>5000</v>
      </c>
      <c r="K38" s="68">
        <v>0</v>
      </c>
      <c r="L38" s="68">
        <v>250</v>
      </c>
      <c r="M38" s="68"/>
      <c r="N38" s="68">
        <v>800</v>
      </c>
      <c r="O38" s="68"/>
      <c r="P38" s="68">
        <v>6775</v>
      </c>
      <c r="Q38" s="68"/>
      <c r="R38" s="68">
        <v>0</v>
      </c>
      <c r="S38" s="68">
        <v>0</v>
      </c>
      <c r="T38" s="68">
        <v>12825</v>
      </c>
      <c r="U38" s="69">
        <v>600</v>
      </c>
      <c r="V38" s="69">
        <v>225</v>
      </c>
      <c r="W38" s="68">
        <v>0</v>
      </c>
      <c r="X38" s="68">
        <v>0</v>
      </c>
      <c r="Y38" s="68">
        <v>825</v>
      </c>
      <c r="Z38" s="68">
        <v>12000</v>
      </c>
    </row>
    <row r="39" spans="1:26" x14ac:dyDescent="0.2">
      <c r="A39" s="74" t="s">
        <v>886</v>
      </c>
      <c r="B39" s="75">
        <v>34</v>
      </c>
      <c r="C39" s="75" t="s">
        <v>743</v>
      </c>
      <c r="D39" s="97" t="s">
        <v>50</v>
      </c>
      <c r="E39" s="97" t="s">
        <v>234</v>
      </c>
      <c r="F39" s="76">
        <v>43009</v>
      </c>
      <c r="G39" s="133">
        <v>28</v>
      </c>
      <c r="H39" s="133" t="e">
        <v>#REF!</v>
      </c>
      <c r="I39" s="153">
        <v>23.5</v>
      </c>
      <c r="J39" s="68">
        <v>4732.1428571428578</v>
      </c>
      <c r="K39" s="68">
        <v>0</v>
      </c>
      <c r="L39" s="68">
        <v>236.60714285714289</v>
      </c>
      <c r="M39" s="68"/>
      <c r="N39" s="68">
        <v>757.14285714285722</v>
      </c>
      <c r="O39" s="68"/>
      <c r="P39" s="68">
        <v>8338.9821428571431</v>
      </c>
      <c r="Q39" s="68"/>
      <c r="R39" s="68">
        <v>0</v>
      </c>
      <c r="S39" s="68">
        <v>0</v>
      </c>
      <c r="T39" s="68">
        <v>14064.875</v>
      </c>
      <c r="U39" s="69">
        <v>567.85714285714289</v>
      </c>
      <c r="V39" s="69">
        <v>247</v>
      </c>
      <c r="W39" s="68">
        <v>0</v>
      </c>
      <c r="X39" s="68">
        <v>0</v>
      </c>
      <c r="Y39" s="68">
        <v>814.85714285714289</v>
      </c>
      <c r="Z39" s="68">
        <v>13250.017857142857</v>
      </c>
    </row>
    <row r="40" spans="1:26" x14ac:dyDescent="0.2">
      <c r="A40" s="74" t="s">
        <v>229</v>
      </c>
      <c r="B40" s="75">
        <v>35</v>
      </c>
      <c r="C40" s="75" t="s">
        <v>199</v>
      </c>
      <c r="D40" s="97" t="s">
        <v>50</v>
      </c>
      <c r="E40" s="97" t="s">
        <v>240</v>
      </c>
      <c r="F40" s="76">
        <v>43009</v>
      </c>
      <c r="G40" s="133">
        <v>28</v>
      </c>
      <c r="H40" s="133" t="e">
        <v>#REF!</v>
      </c>
      <c r="I40" s="153">
        <v>25</v>
      </c>
      <c r="J40" s="68">
        <v>5178.5714285714294</v>
      </c>
      <c r="K40" s="68">
        <v>0</v>
      </c>
      <c r="L40" s="68">
        <v>258.9285714285715</v>
      </c>
      <c r="M40" s="68"/>
      <c r="N40" s="68">
        <v>828.57142857142867</v>
      </c>
      <c r="O40" s="68"/>
      <c r="P40" s="68">
        <v>8071.3214285714284</v>
      </c>
      <c r="Q40" s="68"/>
      <c r="R40" s="68">
        <v>0</v>
      </c>
      <c r="S40" s="68">
        <v>473</v>
      </c>
      <c r="T40" s="68">
        <v>14810.392857142859</v>
      </c>
      <c r="U40" s="69">
        <v>621.42857142857144</v>
      </c>
      <c r="V40" s="69">
        <v>260</v>
      </c>
      <c r="W40" s="68">
        <v>0</v>
      </c>
      <c r="X40" s="68">
        <v>0</v>
      </c>
      <c r="Y40" s="68">
        <v>881.42857142857144</v>
      </c>
      <c r="Z40" s="68">
        <v>13928.964285714288</v>
      </c>
    </row>
    <row r="41" spans="1:26" x14ac:dyDescent="0.2">
      <c r="A41" s="74" t="s">
        <v>269</v>
      </c>
      <c r="B41" s="75">
        <v>36</v>
      </c>
      <c r="C41" s="75" t="s">
        <v>206</v>
      </c>
      <c r="D41" s="97" t="s">
        <v>50</v>
      </c>
      <c r="E41" s="97" t="s">
        <v>238</v>
      </c>
      <c r="F41" s="76">
        <v>43009</v>
      </c>
      <c r="G41" s="133">
        <v>28</v>
      </c>
      <c r="H41" s="133" t="e">
        <v>#REF!</v>
      </c>
      <c r="I41" s="153">
        <f>VLOOKUP(A41,'attendance '!C40:AJ124,34,0)</f>
        <v>26</v>
      </c>
      <c r="J41" s="68">
        <v>5357.1428571428578</v>
      </c>
      <c r="K41" s="68">
        <v>0</v>
      </c>
      <c r="L41" s="68">
        <v>267.85714285714289</v>
      </c>
      <c r="M41" s="68"/>
      <c r="N41" s="68">
        <v>857.14285714285722</v>
      </c>
      <c r="O41" s="68"/>
      <c r="P41" s="68">
        <v>5622.8571428571422</v>
      </c>
      <c r="Q41" s="68"/>
      <c r="R41" s="68">
        <v>0</v>
      </c>
      <c r="S41" s="68">
        <v>764.14285714285688</v>
      </c>
      <c r="T41" s="68">
        <v>12869.142857142857</v>
      </c>
      <c r="U41" s="69">
        <v>642.85714285714289</v>
      </c>
      <c r="V41" s="69">
        <v>226</v>
      </c>
      <c r="W41" s="68">
        <v>0</v>
      </c>
      <c r="X41" s="68">
        <v>0</v>
      </c>
      <c r="Y41" s="68">
        <v>868.85714285714289</v>
      </c>
      <c r="Z41" s="68">
        <v>12000.285714285714</v>
      </c>
    </row>
    <row r="42" spans="1:26" x14ac:dyDescent="0.2">
      <c r="A42" s="74" t="s">
        <v>1436</v>
      </c>
      <c r="B42" s="75">
        <v>37</v>
      </c>
      <c r="C42" s="75" t="s">
        <v>1410</v>
      </c>
      <c r="D42" s="97" t="s">
        <v>50</v>
      </c>
      <c r="E42" s="97" t="s">
        <v>237</v>
      </c>
      <c r="F42" s="76">
        <v>43009</v>
      </c>
      <c r="G42" s="133">
        <v>28</v>
      </c>
      <c r="H42" s="133" t="e">
        <v>#REF!</v>
      </c>
      <c r="I42" s="153">
        <f>VLOOKUP(A42,'attendance '!C41:AJ125,34,0)</f>
        <v>26</v>
      </c>
      <c r="J42" s="68">
        <v>5000</v>
      </c>
      <c r="K42" s="68">
        <v>0</v>
      </c>
      <c r="L42" s="68">
        <v>250</v>
      </c>
      <c r="M42" s="68"/>
      <c r="N42" s="68">
        <v>800</v>
      </c>
      <c r="O42" s="68"/>
      <c r="P42" s="68">
        <v>6266</v>
      </c>
      <c r="Q42" s="68"/>
      <c r="R42" s="68">
        <v>0</v>
      </c>
      <c r="S42" s="68">
        <v>0</v>
      </c>
      <c r="T42" s="68">
        <v>12316</v>
      </c>
      <c r="U42" s="69">
        <v>600</v>
      </c>
      <c r="V42" s="69">
        <v>216</v>
      </c>
      <c r="W42" s="68">
        <v>0</v>
      </c>
      <c r="X42" s="68">
        <v>0</v>
      </c>
      <c r="Y42" s="68">
        <v>816</v>
      </c>
      <c r="Z42" s="68">
        <v>11500</v>
      </c>
    </row>
    <row r="43" spans="1:26" x14ac:dyDescent="0.2">
      <c r="A43" s="74" t="s">
        <v>586</v>
      </c>
      <c r="B43" s="75">
        <v>38</v>
      </c>
      <c r="C43" s="75" t="s">
        <v>573</v>
      </c>
      <c r="D43" s="97" t="s">
        <v>50</v>
      </c>
      <c r="E43" s="97" t="s">
        <v>237</v>
      </c>
      <c r="F43" s="76">
        <v>43009</v>
      </c>
      <c r="G43" s="133">
        <v>28</v>
      </c>
      <c r="H43" s="133" t="e">
        <v>#REF!</v>
      </c>
      <c r="I43" s="153">
        <f>VLOOKUP(A43,'attendance '!C42:AJ126,34,0)</f>
        <v>26</v>
      </c>
      <c r="J43" s="68">
        <v>4821.4285714285716</v>
      </c>
      <c r="K43" s="68">
        <v>0</v>
      </c>
      <c r="L43" s="68">
        <v>241.07142857142858</v>
      </c>
      <c r="M43" s="68"/>
      <c r="N43" s="68">
        <v>771.42857142857144</v>
      </c>
      <c r="O43" s="68"/>
      <c r="P43" s="68">
        <v>6042.2142857142853</v>
      </c>
      <c r="Q43" s="68"/>
      <c r="R43" s="68">
        <v>0</v>
      </c>
      <c r="S43" s="68">
        <v>0</v>
      </c>
      <c r="T43" s="68">
        <v>11876.142857142857</v>
      </c>
      <c r="U43" s="69">
        <v>578.57142857142856</v>
      </c>
      <c r="V43" s="69">
        <v>208</v>
      </c>
      <c r="W43" s="68">
        <v>0</v>
      </c>
      <c r="X43" s="68">
        <v>0</v>
      </c>
      <c r="Y43" s="68">
        <v>786.57142857142856</v>
      </c>
      <c r="Z43" s="68">
        <v>11089.571428571428</v>
      </c>
    </row>
    <row r="44" spans="1:26" x14ac:dyDescent="0.2">
      <c r="A44" s="74" t="s">
        <v>296</v>
      </c>
      <c r="B44" s="75">
        <v>39</v>
      </c>
      <c r="C44" s="75" t="s">
        <v>349</v>
      </c>
      <c r="D44" s="97" t="s">
        <v>50</v>
      </c>
      <c r="E44" s="97" t="s">
        <v>240</v>
      </c>
      <c r="F44" s="76">
        <v>43009</v>
      </c>
      <c r="G44" s="133">
        <v>28</v>
      </c>
      <c r="H44" s="133" t="e">
        <v>#REF!</v>
      </c>
      <c r="I44" s="153">
        <v>28</v>
      </c>
      <c r="J44" s="68">
        <v>5535.7142857142862</v>
      </c>
      <c r="K44" s="68">
        <v>0</v>
      </c>
      <c r="L44" s="68">
        <v>276.78571428571433</v>
      </c>
      <c r="M44" s="68"/>
      <c r="N44" s="68">
        <v>885.71428571428578</v>
      </c>
      <c r="O44" s="68"/>
      <c r="P44" s="68">
        <v>10238.857142857143</v>
      </c>
      <c r="Q44" s="68"/>
      <c r="R44" s="68">
        <v>0</v>
      </c>
      <c r="S44" s="68">
        <v>1573.7857142857138</v>
      </c>
      <c r="T44" s="68">
        <v>18510.857142857141</v>
      </c>
      <c r="U44" s="69">
        <v>664.28571428571433</v>
      </c>
      <c r="V44" s="69">
        <v>324</v>
      </c>
      <c r="W44" s="68">
        <v>0</v>
      </c>
      <c r="X44" s="68">
        <v>0</v>
      </c>
      <c r="Y44" s="68">
        <v>988.28571428571433</v>
      </c>
      <c r="Z44" s="68">
        <v>17522.571428571428</v>
      </c>
    </row>
    <row r="45" spans="1:26" x14ac:dyDescent="0.2">
      <c r="A45" s="74" t="s">
        <v>297</v>
      </c>
      <c r="B45" s="75">
        <v>40</v>
      </c>
      <c r="C45" s="75" t="s">
        <v>254</v>
      </c>
      <c r="D45" s="97" t="s">
        <v>50</v>
      </c>
      <c r="E45" s="97" t="s">
        <v>240</v>
      </c>
      <c r="F45" s="76">
        <v>43009</v>
      </c>
      <c r="G45" s="133">
        <v>28</v>
      </c>
      <c r="H45" s="133" t="e">
        <v>#REF!</v>
      </c>
      <c r="I45" s="153">
        <v>28</v>
      </c>
      <c r="J45" s="68">
        <v>5714.2857142857147</v>
      </c>
      <c r="K45" s="68">
        <v>0</v>
      </c>
      <c r="L45" s="68">
        <v>285.71428571428572</v>
      </c>
      <c r="M45" s="68"/>
      <c r="N45" s="68">
        <v>914.28571428571433</v>
      </c>
      <c r="O45" s="68"/>
      <c r="P45" s="68">
        <v>8906.2857142857138</v>
      </c>
      <c r="Q45" s="68"/>
      <c r="R45" s="68">
        <v>0</v>
      </c>
      <c r="S45" s="68">
        <v>1890.8571428571413</v>
      </c>
      <c r="T45" s="68">
        <v>17711.428571428569</v>
      </c>
      <c r="U45" s="69">
        <v>685.71428571428578</v>
      </c>
      <c r="V45" s="69">
        <v>310</v>
      </c>
      <c r="W45" s="68">
        <v>0</v>
      </c>
      <c r="X45" s="68">
        <v>0</v>
      </c>
      <c r="Y45" s="68">
        <v>995.71428571428578</v>
      </c>
      <c r="Z45" s="68">
        <v>16715.714285714283</v>
      </c>
    </row>
    <row r="46" spans="1:26" x14ac:dyDescent="0.2">
      <c r="A46" s="74" t="s">
        <v>302</v>
      </c>
      <c r="B46" s="75">
        <v>41</v>
      </c>
      <c r="C46" s="75" t="s">
        <v>259</v>
      </c>
      <c r="D46" s="97" t="s">
        <v>50</v>
      </c>
      <c r="E46" s="97" t="s">
        <v>240</v>
      </c>
      <c r="F46" s="76">
        <v>43009</v>
      </c>
      <c r="G46" s="133">
        <v>28</v>
      </c>
      <c r="H46" s="133" t="e">
        <v>#REF!</v>
      </c>
      <c r="I46" s="153">
        <v>14</v>
      </c>
      <c r="J46" s="68">
        <v>2500</v>
      </c>
      <c r="K46" s="68">
        <v>0</v>
      </c>
      <c r="L46" s="68">
        <v>125</v>
      </c>
      <c r="M46" s="68"/>
      <c r="N46" s="68">
        <v>400</v>
      </c>
      <c r="O46" s="68"/>
      <c r="P46" s="68">
        <v>3387.5</v>
      </c>
      <c r="Q46" s="68"/>
      <c r="R46" s="68">
        <v>0</v>
      </c>
      <c r="S46" s="68">
        <v>0</v>
      </c>
      <c r="T46" s="68">
        <v>6412.5</v>
      </c>
      <c r="U46" s="69">
        <v>300</v>
      </c>
      <c r="V46" s="69">
        <v>113</v>
      </c>
      <c r="W46" s="68">
        <v>0</v>
      </c>
      <c r="X46" s="68">
        <v>0</v>
      </c>
      <c r="Y46" s="68">
        <v>413</v>
      </c>
      <c r="Z46" s="68">
        <v>5999.5</v>
      </c>
    </row>
    <row r="47" spans="1:26" x14ac:dyDescent="0.2">
      <c r="A47" s="74" t="s">
        <v>416</v>
      </c>
      <c r="B47" s="75">
        <v>42</v>
      </c>
      <c r="C47" s="75" t="s">
        <v>326</v>
      </c>
      <c r="D47" s="97" t="s">
        <v>50</v>
      </c>
      <c r="E47" s="97" t="s">
        <v>239</v>
      </c>
      <c r="F47" s="76">
        <v>43009</v>
      </c>
      <c r="G47" s="133">
        <v>28</v>
      </c>
      <c r="H47" s="133" t="e">
        <v>#REF!</v>
      </c>
      <c r="I47" s="153">
        <f>VLOOKUP(A47,'attendance '!C46:AJ130,34,0)</f>
        <v>28</v>
      </c>
      <c r="J47" s="68">
        <v>5714.2857142857147</v>
      </c>
      <c r="K47" s="68">
        <v>0</v>
      </c>
      <c r="L47" s="68">
        <v>285.71428571428572</v>
      </c>
      <c r="M47" s="68"/>
      <c r="N47" s="68">
        <v>914.28571428571433</v>
      </c>
      <c r="O47" s="68"/>
      <c r="P47" s="68">
        <v>6579.4285714285716</v>
      </c>
      <c r="Q47" s="68"/>
      <c r="R47" s="68">
        <v>0</v>
      </c>
      <c r="S47" s="68">
        <v>1599</v>
      </c>
      <c r="T47" s="68">
        <v>15092.714285714286</v>
      </c>
      <c r="U47" s="69">
        <v>685.71428571428578</v>
      </c>
      <c r="V47" s="69">
        <v>265</v>
      </c>
      <c r="W47" s="68">
        <v>0</v>
      </c>
      <c r="X47" s="68">
        <v>0</v>
      </c>
      <c r="Y47" s="68">
        <v>950.71428571428578</v>
      </c>
      <c r="Z47" s="68">
        <v>14142</v>
      </c>
    </row>
    <row r="48" spans="1:26" x14ac:dyDescent="0.2">
      <c r="A48" s="74" t="s">
        <v>420</v>
      </c>
      <c r="B48" s="75">
        <v>43</v>
      </c>
      <c r="C48" s="75" t="s">
        <v>329</v>
      </c>
      <c r="D48" s="97" t="s">
        <v>50</v>
      </c>
      <c r="E48" s="97" t="s">
        <v>484</v>
      </c>
      <c r="F48" s="76">
        <v>43009</v>
      </c>
      <c r="G48" s="133">
        <v>28</v>
      </c>
      <c r="H48" s="133" t="e">
        <v>#REF!</v>
      </c>
      <c r="I48" s="153">
        <f>VLOOKUP(A48,'attendance '!C47:AJ131,34,0)</f>
        <v>28</v>
      </c>
      <c r="J48" s="68">
        <v>5535.7142857142862</v>
      </c>
      <c r="K48" s="68">
        <v>0</v>
      </c>
      <c r="L48" s="68">
        <v>276.78571428571433</v>
      </c>
      <c r="M48" s="68"/>
      <c r="N48" s="68">
        <v>885.71428571428578</v>
      </c>
      <c r="O48" s="68"/>
      <c r="P48" s="68">
        <v>5753.8214285714284</v>
      </c>
      <c r="Q48" s="68"/>
      <c r="R48" s="68">
        <v>0</v>
      </c>
      <c r="S48" s="68">
        <v>1139.75</v>
      </c>
      <c r="T48" s="68">
        <v>13591.785714285714</v>
      </c>
      <c r="U48" s="69">
        <v>664.28571428571433</v>
      </c>
      <c r="V48" s="69">
        <v>238</v>
      </c>
      <c r="W48" s="68">
        <v>0</v>
      </c>
      <c r="X48" s="68">
        <v>0</v>
      </c>
      <c r="Y48" s="68">
        <v>902.28571428571433</v>
      </c>
      <c r="Z48" s="68">
        <v>12689.5</v>
      </c>
    </row>
    <row r="49" spans="1:26" x14ac:dyDescent="0.2">
      <c r="A49" s="74" t="s">
        <v>594</v>
      </c>
      <c r="B49" s="75">
        <v>44</v>
      </c>
      <c r="C49" s="75" t="s">
        <v>259</v>
      </c>
      <c r="D49" s="97" t="s">
        <v>50</v>
      </c>
      <c r="E49" s="97" t="s">
        <v>234</v>
      </c>
      <c r="F49" s="76">
        <v>43009</v>
      </c>
      <c r="G49" s="133">
        <v>28</v>
      </c>
      <c r="H49" s="133" t="e">
        <v>#REF!</v>
      </c>
      <c r="I49" s="153">
        <v>26</v>
      </c>
      <c r="J49" s="68">
        <v>5178.5714285714294</v>
      </c>
      <c r="K49" s="68">
        <v>0</v>
      </c>
      <c r="L49" s="68">
        <v>258.9285714285715</v>
      </c>
      <c r="M49" s="68"/>
      <c r="N49" s="68">
        <v>828.57142857142867</v>
      </c>
      <c r="O49" s="68"/>
      <c r="P49" s="68">
        <v>5435.4285714285706</v>
      </c>
      <c r="Q49" s="68"/>
      <c r="R49" s="68">
        <v>0</v>
      </c>
      <c r="S49" s="68">
        <v>382.07142857142935</v>
      </c>
      <c r="T49" s="68">
        <v>12083.571428571429</v>
      </c>
      <c r="U49" s="69">
        <v>621.42857142857144</v>
      </c>
      <c r="V49" s="69">
        <v>212</v>
      </c>
      <c r="W49" s="68">
        <v>0</v>
      </c>
      <c r="X49" s="68">
        <v>0</v>
      </c>
      <c r="Y49" s="68">
        <v>833.42857142857144</v>
      </c>
      <c r="Z49" s="68">
        <v>11250.142857142859</v>
      </c>
    </row>
    <row r="50" spans="1:26" x14ac:dyDescent="0.2">
      <c r="A50" s="74" t="s">
        <v>597</v>
      </c>
      <c r="B50" s="75">
        <v>45</v>
      </c>
      <c r="C50" s="75" t="s">
        <v>363</v>
      </c>
      <c r="D50" s="97" t="s">
        <v>50</v>
      </c>
      <c r="E50" s="97" t="s">
        <v>234</v>
      </c>
      <c r="F50" s="76">
        <v>43009</v>
      </c>
      <c r="G50" s="133">
        <v>28</v>
      </c>
      <c r="H50" s="133" t="e">
        <v>#REF!</v>
      </c>
      <c r="I50" s="153">
        <f>VLOOKUP(A50,'attendance '!C49:AJ133,34,0)</f>
        <v>27</v>
      </c>
      <c r="J50" s="68">
        <v>5178.5714285714294</v>
      </c>
      <c r="K50" s="68">
        <v>0</v>
      </c>
      <c r="L50" s="68">
        <v>258.9285714285715</v>
      </c>
      <c r="M50" s="68"/>
      <c r="N50" s="68">
        <v>828.57142857142867</v>
      </c>
      <c r="O50" s="68"/>
      <c r="P50" s="68">
        <v>5435.4285714285706</v>
      </c>
      <c r="Q50" s="68"/>
      <c r="R50" s="68">
        <v>0</v>
      </c>
      <c r="S50" s="68">
        <v>382.07142857142935</v>
      </c>
      <c r="T50" s="68">
        <v>12083.571428571429</v>
      </c>
      <c r="U50" s="69">
        <v>621.42857142857144</v>
      </c>
      <c r="V50" s="69">
        <v>212</v>
      </c>
      <c r="W50" s="68">
        <v>0</v>
      </c>
      <c r="X50" s="68">
        <v>0</v>
      </c>
      <c r="Y50" s="68">
        <v>833.42857142857144</v>
      </c>
      <c r="Z50" s="68">
        <v>11250.142857142859</v>
      </c>
    </row>
    <row r="51" spans="1:26" x14ac:dyDescent="0.2">
      <c r="A51" s="74" t="s">
        <v>598</v>
      </c>
      <c r="B51" s="75">
        <v>46</v>
      </c>
      <c r="C51" s="75" t="s">
        <v>364</v>
      </c>
      <c r="D51" s="97" t="s">
        <v>50</v>
      </c>
      <c r="E51" s="97" t="s">
        <v>234</v>
      </c>
      <c r="F51" s="76">
        <v>43009</v>
      </c>
      <c r="G51" s="133">
        <v>28</v>
      </c>
      <c r="H51" s="133" t="e">
        <v>#REF!</v>
      </c>
      <c r="I51" s="153">
        <f>VLOOKUP(A51,'attendance '!C50:AJ134,34,0)</f>
        <v>26</v>
      </c>
      <c r="J51" s="68">
        <v>5178.5714285714294</v>
      </c>
      <c r="K51" s="68">
        <v>0</v>
      </c>
      <c r="L51" s="68">
        <v>258.9285714285715</v>
      </c>
      <c r="M51" s="68"/>
      <c r="N51" s="68">
        <v>828.57142857142867</v>
      </c>
      <c r="O51" s="68"/>
      <c r="P51" s="68">
        <v>5435.4285714285706</v>
      </c>
      <c r="Q51" s="68"/>
      <c r="R51" s="68">
        <v>0</v>
      </c>
      <c r="S51" s="68">
        <v>382.07142857142935</v>
      </c>
      <c r="T51" s="68">
        <v>12083.571428571429</v>
      </c>
      <c r="U51" s="69">
        <v>621.42857142857144</v>
      </c>
      <c r="V51" s="69">
        <v>212</v>
      </c>
      <c r="W51" s="68">
        <v>0</v>
      </c>
      <c r="X51" s="68">
        <v>0</v>
      </c>
      <c r="Y51" s="68">
        <v>833.42857142857144</v>
      </c>
      <c r="Z51" s="68">
        <v>11250.142857142859</v>
      </c>
    </row>
    <row r="52" spans="1:26" x14ac:dyDescent="0.2">
      <c r="A52" s="74" t="s">
        <v>603</v>
      </c>
      <c r="B52" s="75">
        <v>47</v>
      </c>
      <c r="C52" s="75" t="s">
        <v>370</v>
      </c>
      <c r="D52" s="97" t="s">
        <v>50</v>
      </c>
      <c r="E52" s="97" t="s">
        <v>234</v>
      </c>
      <c r="F52" s="76">
        <v>43009</v>
      </c>
      <c r="G52" s="133">
        <v>28</v>
      </c>
      <c r="H52" s="133" t="e">
        <v>#REF!</v>
      </c>
      <c r="I52" s="153">
        <v>26</v>
      </c>
      <c r="J52" s="68">
        <v>5178.5714285714294</v>
      </c>
      <c r="K52" s="68">
        <v>0</v>
      </c>
      <c r="L52" s="68">
        <v>258.9285714285715</v>
      </c>
      <c r="M52" s="68"/>
      <c r="N52" s="68">
        <v>828.57142857142867</v>
      </c>
      <c r="O52" s="68"/>
      <c r="P52" s="68">
        <v>5435.4285714285706</v>
      </c>
      <c r="Q52" s="68"/>
      <c r="R52" s="68">
        <v>0</v>
      </c>
      <c r="S52" s="68">
        <v>382.07142857142935</v>
      </c>
      <c r="T52" s="68">
        <v>12083.571428571429</v>
      </c>
      <c r="U52" s="69">
        <v>621.42857142857144</v>
      </c>
      <c r="V52" s="69">
        <v>212</v>
      </c>
      <c r="W52" s="68">
        <v>0</v>
      </c>
      <c r="X52" s="68">
        <v>0</v>
      </c>
      <c r="Y52" s="68">
        <v>833.42857142857144</v>
      </c>
      <c r="Z52" s="68">
        <v>11250.142857142859</v>
      </c>
    </row>
    <row r="53" spans="1:26" x14ac:dyDescent="0.2">
      <c r="A53" s="74" t="s">
        <v>631</v>
      </c>
      <c r="B53" s="75">
        <v>48</v>
      </c>
      <c r="C53" s="75" t="s">
        <v>705</v>
      </c>
      <c r="D53" s="97" t="s">
        <v>50</v>
      </c>
      <c r="E53" s="97" t="s">
        <v>238</v>
      </c>
      <c r="F53" s="76">
        <v>43009</v>
      </c>
      <c r="G53" s="133">
        <v>28</v>
      </c>
      <c r="H53" s="133" t="e">
        <v>#REF!</v>
      </c>
      <c r="I53" s="153">
        <f>VLOOKUP(A53,'attendance '!C52:AJ136,34,0)</f>
        <v>26</v>
      </c>
      <c r="J53" s="68">
        <v>5357.1428571428578</v>
      </c>
      <c r="K53" s="68">
        <v>0</v>
      </c>
      <c r="L53" s="68">
        <v>267.85714285714289</v>
      </c>
      <c r="M53" s="68"/>
      <c r="N53" s="68">
        <v>857.14285714285722</v>
      </c>
      <c r="O53" s="68"/>
      <c r="P53" s="68">
        <v>5622.8571428571422</v>
      </c>
      <c r="Q53" s="68"/>
      <c r="R53" s="68">
        <v>0</v>
      </c>
      <c r="S53" s="68">
        <v>764.14285714285688</v>
      </c>
      <c r="T53" s="68">
        <v>12869.142857142857</v>
      </c>
      <c r="U53" s="69">
        <v>642.85714285714289</v>
      </c>
      <c r="V53" s="69">
        <v>226</v>
      </c>
      <c r="W53" s="68">
        <v>0</v>
      </c>
      <c r="X53" s="68">
        <v>0</v>
      </c>
      <c r="Y53" s="68">
        <v>868.85714285714289</v>
      </c>
      <c r="Z53" s="68">
        <v>12000.285714285714</v>
      </c>
    </row>
    <row r="54" spans="1:26" x14ac:dyDescent="0.2">
      <c r="A54" s="74" t="s">
        <v>637</v>
      </c>
      <c r="B54" s="75">
        <v>49</v>
      </c>
      <c r="C54" s="75" t="s">
        <v>402</v>
      </c>
      <c r="D54" s="97" t="s">
        <v>50</v>
      </c>
      <c r="E54" s="97" t="s">
        <v>234</v>
      </c>
      <c r="F54" s="76">
        <v>43009</v>
      </c>
      <c r="G54" s="133">
        <v>28</v>
      </c>
      <c r="H54" s="133" t="e">
        <v>#REF!</v>
      </c>
      <c r="I54" s="153">
        <v>26</v>
      </c>
      <c r="J54" s="68">
        <v>5000</v>
      </c>
      <c r="K54" s="68">
        <v>0</v>
      </c>
      <c r="L54" s="68">
        <v>250</v>
      </c>
      <c r="M54" s="68"/>
      <c r="N54" s="68">
        <v>800</v>
      </c>
      <c r="O54" s="68"/>
      <c r="P54" s="68">
        <v>5248</v>
      </c>
      <c r="Q54" s="68"/>
      <c r="R54" s="68">
        <v>0</v>
      </c>
      <c r="S54" s="68">
        <v>0</v>
      </c>
      <c r="T54" s="68">
        <v>11298</v>
      </c>
      <c r="U54" s="69">
        <v>600</v>
      </c>
      <c r="V54" s="69">
        <v>198</v>
      </c>
      <c r="W54" s="68">
        <v>0</v>
      </c>
      <c r="X54" s="68">
        <v>0</v>
      </c>
      <c r="Y54" s="68">
        <v>798</v>
      </c>
      <c r="Z54" s="68">
        <v>10500</v>
      </c>
    </row>
    <row r="55" spans="1:26" x14ac:dyDescent="0.2">
      <c r="A55" s="74" t="s">
        <v>644</v>
      </c>
      <c r="B55" s="75">
        <v>50</v>
      </c>
      <c r="C55" s="75" t="s">
        <v>409</v>
      </c>
      <c r="D55" s="97" t="s">
        <v>50</v>
      </c>
      <c r="E55" s="97" t="s">
        <v>234</v>
      </c>
      <c r="F55" s="76">
        <v>43009</v>
      </c>
      <c r="G55" s="133">
        <v>28</v>
      </c>
      <c r="H55" s="133" t="e">
        <v>#REF!</v>
      </c>
      <c r="I55" s="153">
        <v>25</v>
      </c>
      <c r="J55" s="68">
        <v>5178.5714285714294</v>
      </c>
      <c r="K55" s="68">
        <v>0</v>
      </c>
      <c r="L55" s="68">
        <v>258.9285714285715</v>
      </c>
      <c r="M55" s="68"/>
      <c r="N55" s="68">
        <v>828.57142857142867</v>
      </c>
      <c r="O55" s="68"/>
      <c r="P55" s="68">
        <v>5435.4285714285706</v>
      </c>
      <c r="Q55" s="68"/>
      <c r="R55" s="68">
        <v>0</v>
      </c>
      <c r="S55" s="68">
        <v>382.07142857142935</v>
      </c>
      <c r="T55" s="68">
        <v>12083.571428571429</v>
      </c>
      <c r="U55" s="69">
        <v>621.42857142857144</v>
      </c>
      <c r="V55" s="69">
        <v>212</v>
      </c>
      <c r="W55" s="68">
        <v>0</v>
      </c>
      <c r="X55" s="68">
        <v>0</v>
      </c>
      <c r="Y55" s="68">
        <v>833.42857142857144</v>
      </c>
      <c r="Z55" s="68">
        <v>11250.142857142859</v>
      </c>
    </row>
    <row r="56" spans="1:26" x14ac:dyDescent="0.2">
      <c r="A56" s="74" t="s">
        <v>806</v>
      </c>
      <c r="B56" s="75">
        <v>51</v>
      </c>
      <c r="C56" s="75" t="s">
        <v>512</v>
      </c>
      <c r="D56" s="97" t="s">
        <v>50</v>
      </c>
      <c r="E56" s="97" t="s">
        <v>234</v>
      </c>
      <c r="F56" s="76">
        <v>43009</v>
      </c>
      <c r="G56" s="133">
        <v>28</v>
      </c>
      <c r="H56" s="133" t="e">
        <v>#REF!</v>
      </c>
      <c r="I56" s="153">
        <v>21</v>
      </c>
      <c r="J56" s="68">
        <v>4285.7142857142862</v>
      </c>
      <c r="K56" s="68">
        <v>0</v>
      </c>
      <c r="L56" s="68">
        <v>214.28571428571433</v>
      </c>
      <c r="M56" s="68"/>
      <c r="N56" s="68">
        <v>685.71428571428578</v>
      </c>
      <c r="O56" s="68"/>
      <c r="P56" s="68">
        <v>4498.2857142857138</v>
      </c>
      <c r="Q56" s="68"/>
      <c r="R56" s="68">
        <v>0</v>
      </c>
      <c r="S56" s="68">
        <v>0</v>
      </c>
      <c r="T56" s="68">
        <v>9684</v>
      </c>
      <c r="U56" s="69">
        <v>514.28571428571433</v>
      </c>
      <c r="V56" s="69">
        <v>170</v>
      </c>
      <c r="W56" s="68">
        <v>0</v>
      </c>
      <c r="X56" s="68">
        <v>0</v>
      </c>
      <c r="Y56" s="68">
        <v>684.28571428571433</v>
      </c>
      <c r="Z56" s="68">
        <v>8999.7142857142862</v>
      </c>
    </row>
    <row r="57" spans="1:26" x14ac:dyDescent="0.2">
      <c r="A57" s="74" t="s">
        <v>807</v>
      </c>
      <c r="B57" s="75">
        <v>52</v>
      </c>
      <c r="C57" s="75" t="s">
        <v>519</v>
      </c>
      <c r="D57" s="97" t="s">
        <v>50</v>
      </c>
      <c r="E57" s="97" t="s">
        <v>234</v>
      </c>
      <c r="F57" s="76">
        <v>43009</v>
      </c>
      <c r="G57" s="133">
        <v>28</v>
      </c>
      <c r="H57" s="133" t="e">
        <v>#REF!</v>
      </c>
      <c r="I57" s="153">
        <v>25</v>
      </c>
      <c r="J57" s="68">
        <v>5000</v>
      </c>
      <c r="K57" s="68">
        <v>0</v>
      </c>
      <c r="L57" s="68">
        <v>250</v>
      </c>
      <c r="M57" s="68"/>
      <c r="N57" s="68">
        <v>800</v>
      </c>
      <c r="O57" s="68"/>
      <c r="P57" s="68">
        <v>5248</v>
      </c>
      <c r="Q57" s="68"/>
      <c r="R57" s="68">
        <v>0</v>
      </c>
      <c r="S57" s="68">
        <v>0</v>
      </c>
      <c r="T57" s="68">
        <v>11298</v>
      </c>
      <c r="U57" s="69">
        <v>600</v>
      </c>
      <c r="V57" s="69">
        <v>198</v>
      </c>
      <c r="W57" s="68">
        <v>0</v>
      </c>
      <c r="X57" s="68">
        <v>0</v>
      </c>
      <c r="Y57" s="68">
        <v>798</v>
      </c>
      <c r="Z57" s="68">
        <v>10500</v>
      </c>
    </row>
    <row r="58" spans="1:26" x14ac:dyDescent="0.2">
      <c r="A58" s="74" t="s">
        <v>808</v>
      </c>
      <c r="B58" s="75">
        <v>53</v>
      </c>
      <c r="C58" s="75" t="s">
        <v>492</v>
      </c>
      <c r="D58" s="97" t="s">
        <v>50</v>
      </c>
      <c r="E58" s="97" t="s">
        <v>234</v>
      </c>
      <c r="F58" s="76">
        <v>43009</v>
      </c>
      <c r="G58" s="133">
        <v>28</v>
      </c>
      <c r="H58" s="133" t="e">
        <v>#REF!</v>
      </c>
      <c r="I58" s="153">
        <v>25</v>
      </c>
      <c r="J58" s="68">
        <v>4821.4285714285716</v>
      </c>
      <c r="K58" s="68">
        <v>0</v>
      </c>
      <c r="L58" s="68">
        <v>241.07142857142858</v>
      </c>
      <c r="M58" s="68"/>
      <c r="N58" s="68">
        <v>771.42857142857144</v>
      </c>
      <c r="O58" s="68"/>
      <c r="P58" s="68">
        <v>5060.5714285714284</v>
      </c>
      <c r="Q58" s="68"/>
      <c r="R58" s="68">
        <v>0</v>
      </c>
      <c r="S58" s="68">
        <v>0</v>
      </c>
      <c r="T58" s="68">
        <v>10894.5</v>
      </c>
      <c r="U58" s="69">
        <v>578.57142857142856</v>
      </c>
      <c r="V58" s="69">
        <v>191</v>
      </c>
      <c r="W58" s="68">
        <v>0</v>
      </c>
      <c r="X58" s="68">
        <v>0</v>
      </c>
      <c r="Y58" s="68">
        <v>769.57142857142856</v>
      </c>
      <c r="Z58" s="68">
        <v>10124.928571428571</v>
      </c>
    </row>
    <row r="59" spans="1:26" x14ac:dyDescent="0.2">
      <c r="A59" s="74" t="s">
        <v>812</v>
      </c>
      <c r="B59" s="75">
        <v>54</v>
      </c>
      <c r="C59" s="75" t="s">
        <v>535</v>
      </c>
      <c r="D59" s="97" t="s">
        <v>50</v>
      </c>
      <c r="E59" s="97" t="s">
        <v>234</v>
      </c>
      <c r="F59" s="76">
        <v>43009</v>
      </c>
      <c r="G59" s="133">
        <v>28</v>
      </c>
      <c r="H59" s="133" t="e">
        <v>#REF!</v>
      </c>
      <c r="I59" s="153">
        <v>28</v>
      </c>
      <c r="J59" s="68">
        <v>5357.1428571428578</v>
      </c>
      <c r="K59" s="68">
        <v>0</v>
      </c>
      <c r="L59" s="68">
        <v>267.85714285714289</v>
      </c>
      <c r="M59" s="68"/>
      <c r="N59" s="68">
        <v>857.14285714285722</v>
      </c>
      <c r="O59" s="68"/>
      <c r="P59" s="68">
        <v>5622.8571428571422</v>
      </c>
      <c r="Q59" s="68"/>
      <c r="R59" s="68">
        <v>0</v>
      </c>
      <c r="S59" s="68">
        <v>764.14285714285688</v>
      </c>
      <c r="T59" s="68">
        <v>12869.142857142857</v>
      </c>
      <c r="U59" s="69">
        <v>642.85714285714289</v>
      </c>
      <c r="V59" s="69">
        <v>226</v>
      </c>
      <c r="W59" s="68">
        <v>0</v>
      </c>
      <c r="X59" s="68">
        <v>0</v>
      </c>
      <c r="Y59" s="68">
        <v>868.85714285714289</v>
      </c>
      <c r="Z59" s="68">
        <v>12000.285714285714</v>
      </c>
    </row>
    <row r="60" spans="1:26" x14ac:dyDescent="0.2">
      <c r="A60" s="74" t="s">
        <v>817</v>
      </c>
      <c r="B60" s="75">
        <v>55</v>
      </c>
      <c r="C60" s="75" t="s">
        <v>703</v>
      </c>
      <c r="D60" s="97" t="s">
        <v>50</v>
      </c>
      <c r="E60" s="97" t="s">
        <v>238</v>
      </c>
      <c r="F60" s="76">
        <v>43009</v>
      </c>
      <c r="G60" s="133">
        <v>28</v>
      </c>
      <c r="H60" s="133" t="e">
        <v>#REF!</v>
      </c>
      <c r="I60" s="153">
        <f>VLOOKUP(A60,'attendance '!C59:AJ143,34,0)</f>
        <v>27</v>
      </c>
      <c r="J60" s="68">
        <v>5357.1428571428578</v>
      </c>
      <c r="K60" s="68">
        <v>0</v>
      </c>
      <c r="L60" s="68">
        <v>267.85714285714289</v>
      </c>
      <c r="M60" s="68"/>
      <c r="N60" s="68">
        <v>857.14285714285722</v>
      </c>
      <c r="O60" s="68"/>
      <c r="P60" s="68">
        <v>6768.2142857142862</v>
      </c>
      <c r="Q60" s="68"/>
      <c r="R60" s="68">
        <v>0</v>
      </c>
      <c r="S60" s="68">
        <v>840.50000000000182</v>
      </c>
      <c r="T60" s="68">
        <v>14090.857142857147</v>
      </c>
      <c r="U60" s="69">
        <v>642.85714285714289</v>
      </c>
      <c r="V60" s="69">
        <v>247</v>
      </c>
      <c r="W60" s="68">
        <v>0</v>
      </c>
      <c r="X60" s="68">
        <v>0</v>
      </c>
      <c r="Y60" s="68">
        <v>889.85714285714289</v>
      </c>
      <c r="Z60" s="68">
        <v>13201.000000000004</v>
      </c>
    </row>
    <row r="61" spans="1:26" x14ac:dyDescent="0.2">
      <c r="A61" s="74" t="s">
        <v>1122</v>
      </c>
      <c r="B61" s="75">
        <v>56</v>
      </c>
      <c r="C61" s="75" t="s">
        <v>986</v>
      </c>
      <c r="D61" s="97" t="s">
        <v>50</v>
      </c>
      <c r="E61" s="97" t="s">
        <v>237</v>
      </c>
      <c r="F61" s="76">
        <v>43009</v>
      </c>
      <c r="G61" s="133">
        <v>28</v>
      </c>
      <c r="H61" s="133" t="e">
        <v>#REF!</v>
      </c>
      <c r="I61" s="153">
        <f>VLOOKUP(A61,'attendance '!C60:AJ144,34,0)</f>
        <v>28</v>
      </c>
      <c r="J61" s="68">
        <v>5535.7142857142862</v>
      </c>
      <c r="K61" s="68">
        <v>0</v>
      </c>
      <c r="L61" s="68">
        <v>276.78571428571433</v>
      </c>
      <c r="M61" s="68"/>
      <c r="N61" s="68">
        <v>885.71428571428578</v>
      </c>
      <c r="O61" s="68"/>
      <c r="P61" s="68">
        <v>5810.2857142857138</v>
      </c>
      <c r="Q61" s="68"/>
      <c r="R61" s="68">
        <v>0</v>
      </c>
      <c r="S61" s="68">
        <v>1145.2142857142862</v>
      </c>
      <c r="T61" s="68">
        <v>13653.714285714286</v>
      </c>
      <c r="U61" s="69">
        <v>664.28571428571433</v>
      </c>
      <c r="V61" s="69">
        <v>239</v>
      </c>
      <c r="W61" s="68">
        <v>0</v>
      </c>
      <c r="X61" s="68">
        <v>0</v>
      </c>
      <c r="Y61" s="68">
        <v>903.28571428571433</v>
      </c>
      <c r="Z61" s="68">
        <v>12750.428571428572</v>
      </c>
    </row>
    <row r="62" spans="1:26" x14ac:dyDescent="0.2">
      <c r="A62" s="74" t="s">
        <v>1123</v>
      </c>
      <c r="B62" s="75">
        <v>57</v>
      </c>
      <c r="C62" s="75" t="s">
        <v>987</v>
      </c>
      <c r="D62" s="97" t="s">
        <v>50</v>
      </c>
      <c r="E62" s="97" t="s">
        <v>237</v>
      </c>
      <c r="F62" s="76">
        <v>43009</v>
      </c>
      <c r="G62" s="133">
        <v>28</v>
      </c>
      <c r="H62" s="133" t="e">
        <v>#REF!</v>
      </c>
      <c r="I62" s="153">
        <f>VLOOKUP(A62,'attendance '!C61:AJ145,34,0)</f>
        <v>19</v>
      </c>
      <c r="J62" s="68">
        <v>3750.0000000000005</v>
      </c>
      <c r="K62" s="68">
        <v>0</v>
      </c>
      <c r="L62" s="68">
        <v>187.50000000000003</v>
      </c>
      <c r="M62" s="68"/>
      <c r="N62" s="68">
        <v>600</v>
      </c>
      <c r="O62" s="68"/>
      <c r="P62" s="68">
        <v>3935.9999999999995</v>
      </c>
      <c r="Q62" s="68"/>
      <c r="R62" s="68">
        <v>0</v>
      </c>
      <c r="S62" s="68">
        <v>1000</v>
      </c>
      <c r="T62" s="68">
        <v>9473.5</v>
      </c>
      <c r="U62" s="69">
        <v>450.00000000000006</v>
      </c>
      <c r="V62" s="69">
        <v>166</v>
      </c>
      <c r="W62" s="68">
        <v>0</v>
      </c>
      <c r="X62" s="68">
        <v>0</v>
      </c>
      <c r="Y62" s="68">
        <v>616</v>
      </c>
      <c r="Z62" s="68">
        <v>8857.5</v>
      </c>
    </row>
    <row r="63" spans="1:26" x14ac:dyDescent="0.2">
      <c r="A63" s="74" t="s">
        <v>1114</v>
      </c>
      <c r="B63" s="75">
        <v>58</v>
      </c>
      <c r="C63" s="75" t="s">
        <v>969</v>
      </c>
      <c r="D63" s="97" t="s">
        <v>50</v>
      </c>
      <c r="E63" s="97" t="s">
        <v>238</v>
      </c>
      <c r="F63" s="76">
        <v>43009</v>
      </c>
      <c r="G63" s="133">
        <v>28</v>
      </c>
      <c r="H63" s="133" t="e">
        <v>#REF!</v>
      </c>
      <c r="I63" s="153">
        <f>VLOOKUP(A63,'attendance '!C62:AJ146,34,0)</f>
        <v>20</v>
      </c>
      <c r="J63" s="68">
        <v>4107.1428571428578</v>
      </c>
      <c r="K63" s="68">
        <v>0</v>
      </c>
      <c r="L63" s="68">
        <v>205.35714285714289</v>
      </c>
      <c r="M63" s="68"/>
      <c r="N63" s="68">
        <v>657.14285714285722</v>
      </c>
      <c r="O63" s="68"/>
      <c r="P63" s="68">
        <v>4310.8571428571422</v>
      </c>
      <c r="Q63" s="68"/>
      <c r="R63" s="68">
        <v>0</v>
      </c>
      <c r="S63" s="68">
        <v>0</v>
      </c>
      <c r="T63" s="68">
        <v>9280.5</v>
      </c>
      <c r="U63" s="69">
        <v>492.85714285714289</v>
      </c>
      <c r="V63" s="69">
        <v>163</v>
      </c>
      <c r="W63" s="68">
        <v>0</v>
      </c>
      <c r="X63" s="68">
        <v>0</v>
      </c>
      <c r="Y63" s="68">
        <v>655.85714285714289</v>
      </c>
      <c r="Z63" s="68">
        <v>8624.6428571428569</v>
      </c>
    </row>
    <row r="64" spans="1:26" x14ac:dyDescent="0.2">
      <c r="A64" s="74" t="s">
        <v>1115</v>
      </c>
      <c r="B64" s="75">
        <v>59</v>
      </c>
      <c r="C64" s="75" t="s">
        <v>979</v>
      </c>
      <c r="D64" s="97" t="s">
        <v>50</v>
      </c>
      <c r="E64" s="97" t="s">
        <v>238</v>
      </c>
      <c r="F64" s="76">
        <v>43009</v>
      </c>
      <c r="G64" s="133">
        <v>28</v>
      </c>
      <c r="H64" s="133" t="e">
        <v>#REF!</v>
      </c>
      <c r="I64" s="153">
        <f>VLOOKUP(A64,'attendance '!C63:AJ147,34,0)</f>
        <v>25</v>
      </c>
      <c r="J64" s="68">
        <v>5000</v>
      </c>
      <c r="K64" s="68">
        <v>0</v>
      </c>
      <c r="L64" s="68">
        <v>250</v>
      </c>
      <c r="M64" s="68"/>
      <c r="N64" s="68">
        <v>800</v>
      </c>
      <c r="O64" s="68"/>
      <c r="P64" s="68">
        <v>5248</v>
      </c>
      <c r="Q64" s="68"/>
      <c r="R64" s="68">
        <v>0</v>
      </c>
      <c r="S64" s="68">
        <v>0</v>
      </c>
      <c r="T64" s="68">
        <v>11298</v>
      </c>
      <c r="U64" s="69">
        <v>600</v>
      </c>
      <c r="V64" s="69">
        <v>198</v>
      </c>
      <c r="W64" s="68">
        <v>0</v>
      </c>
      <c r="X64" s="68">
        <v>0</v>
      </c>
      <c r="Y64" s="68">
        <v>798</v>
      </c>
      <c r="Z64" s="68">
        <v>10500</v>
      </c>
    </row>
    <row r="65" spans="1:26" x14ac:dyDescent="0.2">
      <c r="A65" s="74" t="s">
        <v>1094</v>
      </c>
      <c r="B65" s="75">
        <v>60</v>
      </c>
      <c r="C65" s="75" t="s">
        <v>947</v>
      </c>
      <c r="D65" s="97" t="s">
        <v>50</v>
      </c>
      <c r="E65" s="97" t="s">
        <v>581</v>
      </c>
      <c r="F65" s="76">
        <v>43009</v>
      </c>
      <c r="G65" s="133">
        <v>28</v>
      </c>
      <c r="H65" s="133" t="e">
        <v>#REF!</v>
      </c>
      <c r="I65" s="153">
        <v>4</v>
      </c>
      <c r="J65" s="68">
        <v>714.28571428571433</v>
      </c>
      <c r="K65" s="68">
        <v>0</v>
      </c>
      <c r="L65" s="68">
        <v>35.714285714285715</v>
      </c>
      <c r="M65" s="68"/>
      <c r="N65" s="68">
        <v>114.28571428571429</v>
      </c>
      <c r="O65" s="68"/>
      <c r="P65" s="68">
        <v>822.42857142857144</v>
      </c>
      <c r="Q65" s="68"/>
      <c r="R65" s="68">
        <v>0</v>
      </c>
      <c r="S65" s="68">
        <v>0</v>
      </c>
      <c r="T65" s="68">
        <v>1686.7142857142858</v>
      </c>
      <c r="U65" s="69">
        <v>85.714285714285722</v>
      </c>
      <c r="V65" s="69">
        <v>30</v>
      </c>
      <c r="W65" s="68">
        <v>0</v>
      </c>
      <c r="X65" s="68">
        <v>0</v>
      </c>
      <c r="Y65" s="68">
        <v>115.71428571428572</v>
      </c>
      <c r="Z65" s="68">
        <v>1571</v>
      </c>
    </row>
    <row r="66" spans="1:26" x14ac:dyDescent="0.2">
      <c r="A66" s="74" t="s">
        <v>1095</v>
      </c>
      <c r="B66" s="75">
        <v>61</v>
      </c>
      <c r="C66" s="75" t="s">
        <v>214</v>
      </c>
      <c r="D66" s="97" t="s">
        <v>50</v>
      </c>
      <c r="E66" s="97" t="s">
        <v>581</v>
      </c>
      <c r="F66" s="76">
        <v>43009</v>
      </c>
      <c r="G66" s="133">
        <v>28</v>
      </c>
      <c r="H66" s="133" t="e">
        <v>#REF!</v>
      </c>
      <c r="I66" s="153">
        <v>16</v>
      </c>
      <c r="J66" s="68">
        <v>2857.1428571428573</v>
      </c>
      <c r="K66" s="68">
        <v>0</v>
      </c>
      <c r="L66" s="68">
        <v>142.85714285714286</v>
      </c>
      <c r="M66" s="68"/>
      <c r="N66" s="68">
        <v>457.14285714285717</v>
      </c>
      <c r="O66" s="68"/>
      <c r="P66" s="68">
        <v>3289.7142857142858</v>
      </c>
      <c r="Q66" s="68"/>
      <c r="R66" s="68">
        <v>0</v>
      </c>
      <c r="S66" s="68">
        <v>0</v>
      </c>
      <c r="T66" s="68">
        <v>6746.8571428571431</v>
      </c>
      <c r="U66" s="69">
        <v>342.85714285714289</v>
      </c>
      <c r="V66" s="69">
        <v>119</v>
      </c>
      <c r="W66" s="68">
        <v>0</v>
      </c>
      <c r="X66" s="68">
        <v>0</v>
      </c>
      <c r="Y66" s="68">
        <v>461.85714285714289</v>
      </c>
      <c r="Z66" s="68">
        <v>6285</v>
      </c>
    </row>
    <row r="67" spans="1:26" x14ac:dyDescent="0.2">
      <c r="A67" s="74" t="s">
        <v>1096</v>
      </c>
      <c r="B67" s="75">
        <v>62</v>
      </c>
      <c r="C67" s="75" t="s">
        <v>950</v>
      </c>
      <c r="D67" s="97" t="s">
        <v>50</v>
      </c>
      <c r="E67" s="97" t="s">
        <v>581</v>
      </c>
      <c r="F67" s="76">
        <v>43009</v>
      </c>
      <c r="G67" s="133">
        <v>28</v>
      </c>
      <c r="H67" s="133" t="e">
        <v>#REF!</v>
      </c>
      <c r="I67" s="153">
        <v>22</v>
      </c>
      <c r="J67" s="68">
        <v>4464.2857142857147</v>
      </c>
      <c r="K67" s="68">
        <v>0</v>
      </c>
      <c r="L67" s="68">
        <v>223.21428571428575</v>
      </c>
      <c r="M67" s="68"/>
      <c r="N67" s="68">
        <v>714.28571428571433</v>
      </c>
      <c r="O67" s="68"/>
      <c r="P67" s="68">
        <v>5140.1785714285716</v>
      </c>
      <c r="Q67" s="68"/>
      <c r="R67" s="68">
        <v>0</v>
      </c>
      <c r="S67" s="68">
        <v>0</v>
      </c>
      <c r="T67" s="68">
        <v>10541.964285714286</v>
      </c>
      <c r="U67" s="69">
        <v>535.71428571428578</v>
      </c>
      <c r="V67" s="69">
        <v>185</v>
      </c>
      <c r="W67" s="68">
        <v>0</v>
      </c>
      <c r="X67" s="68">
        <v>0</v>
      </c>
      <c r="Y67" s="68">
        <v>720.71428571428578</v>
      </c>
      <c r="Z67" s="68">
        <v>9821.25</v>
      </c>
    </row>
    <row r="68" spans="1:26" x14ac:dyDescent="0.2">
      <c r="A68" s="74" t="s">
        <v>1097</v>
      </c>
      <c r="B68" s="75">
        <v>63</v>
      </c>
      <c r="C68" s="75" t="s">
        <v>952</v>
      </c>
      <c r="D68" s="97" t="s">
        <v>50</v>
      </c>
      <c r="E68" s="97" t="s">
        <v>234</v>
      </c>
      <c r="F68" s="76">
        <v>43009</v>
      </c>
      <c r="G68" s="133">
        <v>28</v>
      </c>
      <c r="H68" s="133" t="e">
        <v>#REF!</v>
      </c>
      <c r="I68" s="153">
        <v>28</v>
      </c>
      <c r="J68" s="68">
        <v>5714.2857142857147</v>
      </c>
      <c r="K68" s="68">
        <v>0</v>
      </c>
      <c r="L68" s="68">
        <v>285.71428571428572</v>
      </c>
      <c r="M68" s="68"/>
      <c r="N68" s="68">
        <v>914.28571428571433</v>
      </c>
      <c r="O68" s="68"/>
      <c r="P68" s="68">
        <v>5997.7142857142853</v>
      </c>
      <c r="Q68" s="68"/>
      <c r="R68" s="68">
        <v>0</v>
      </c>
      <c r="S68" s="68">
        <v>1527.2857142857138</v>
      </c>
      <c r="T68" s="68">
        <v>14439.285714285714</v>
      </c>
      <c r="U68" s="69">
        <v>685.71428571428578</v>
      </c>
      <c r="V68" s="69">
        <v>253</v>
      </c>
      <c r="W68" s="68">
        <v>0</v>
      </c>
      <c r="X68" s="68">
        <v>0</v>
      </c>
      <c r="Y68" s="68">
        <v>938.71428571428578</v>
      </c>
      <c r="Z68" s="68">
        <v>13500.571428571428</v>
      </c>
    </row>
    <row r="69" spans="1:26" x14ac:dyDescent="0.2">
      <c r="A69" s="74" t="s">
        <v>1098</v>
      </c>
      <c r="B69" s="75">
        <v>64</v>
      </c>
      <c r="C69" s="75" t="s">
        <v>955</v>
      </c>
      <c r="D69" s="97" t="s">
        <v>50</v>
      </c>
      <c r="E69" s="97" t="s">
        <v>234</v>
      </c>
      <c r="F69" s="76">
        <v>43009</v>
      </c>
      <c r="G69" s="133">
        <v>28</v>
      </c>
      <c r="H69" s="133" t="e">
        <v>#REF!</v>
      </c>
      <c r="I69" s="153">
        <v>26</v>
      </c>
      <c r="J69" s="68">
        <v>5178.5714285714294</v>
      </c>
      <c r="K69" s="68">
        <v>0</v>
      </c>
      <c r="L69" s="68">
        <v>258.9285714285715</v>
      </c>
      <c r="M69" s="68"/>
      <c r="N69" s="68">
        <v>828.57142857142867</v>
      </c>
      <c r="O69" s="68"/>
      <c r="P69" s="68">
        <v>5435.4285714285706</v>
      </c>
      <c r="Q69" s="68"/>
      <c r="R69" s="68">
        <v>0</v>
      </c>
      <c r="S69" s="68">
        <v>382.07142857142935</v>
      </c>
      <c r="T69" s="68">
        <v>12083.571428571429</v>
      </c>
      <c r="U69" s="69">
        <v>621.42857142857144</v>
      </c>
      <c r="V69" s="69">
        <v>212</v>
      </c>
      <c r="W69" s="68">
        <v>0</v>
      </c>
      <c r="X69" s="68">
        <v>0</v>
      </c>
      <c r="Y69" s="68">
        <v>833.42857142857144</v>
      </c>
      <c r="Z69" s="68">
        <v>11250.142857142859</v>
      </c>
    </row>
    <row r="70" spans="1:26" x14ac:dyDescent="0.2">
      <c r="A70" s="74" t="s">
        <v>1099</v>
      </c>
      <c r="B70" s="75">
        <v>65</v>
      </c>
      <c r="C70" s="75" t="s">
        <v>957</v>
      </c>
      <c r="D70" s="97" t="s">
        <v>50</v>
      </c>
      <c r="E70" s="97" t="s">
        <v>234</v>
      </c>
      <c r="F70" s="76">
        <v>43009</v>
      </c>
      <c r="G70" s="133">
        <v>28</v>
      </c>
      <c r="H70" s="133" t="e">
        <v>#REF!</v>
      </c>
      <c r="I70" s="153">
        <v>27</v>
      </c>
      <c r="J70" s="68">
        <v>5178.5714285714294</v>
      </c>
      <c r="K70" s="68">
        <v>0</v>
      </c>
      <c r="L70" s="68">
        <v>258.9285714285715</v>
      </c>
      <c r="M70" s="68"/>
      <c r="N70" s="68">
        <v>828.57142857142867</v>
      </c>
      <c r="O70" s="68"/>
      <c r="P70" s="68">
        <v>5435.4285714285706</v>
      </c>
      <c r="Q70" s="68"/>
      <c r="R70" s="68">
        <v>0</v>
      </c>
      <c r="S70" s="68">
        <v>382.07142857142935</v>
      </c>
      <c r="T70" s="68">
        <v>12083.571428571429</v>
      </c>
      <c r="U70" s="69">
        <v>621.42857142857144</v>
      </c>
      <c r="V70" s="69">
        <v>212</v>
      </c>
      <c r="W70" s="68">
        <v>0</v>
      </c>
      <c r="X70" s="68">
        <v>0</v>
      </c>
      <c r="Y70" s="68">
        <v>833.42857142857144</v>
      </c>
      <c r="Z70" s="68">
        <v>11250.142857142859</v>
      </c>
    </row>
    <row r="71" spans="1:26" x14ac:dyDescent="0.2">
      <c r="A71" s="74" t="s">
        <v>1101</v>
      </c>
      <c r="B71" s="75">
        <v>66</v>
      </c>
      <c r="C71" s="75" t="s">
        <v>959</v>
      </c>
      <c r="D71" s="97" t="s">
        <v>50</v>
      </c>
      <c r="E71" s="97" t="s">
        <v>234</v>
      </c>
      <c r="F71" s="76">
        <v>43009</v>
      </c>
      <c r="G71" s="133">
        <v>28</v>
      </c>
      <c r="H71" s="133" t="e">
        <v>#REF!</v>
      </c>
      <c r="I71" s="153">
        <v>28</v>
      </c>
      <c r="J71" s="68">
        <v>5535.7142857142862</v>
      </c>
      <c r="K71" s="68">
        <v>0</v>
      </c>
      <c r="L71" s="68">
        <v>276.78571428571433</v>
      </c>
      <c r="M71" s="68"/>
      <c r="N71" s="68">
        <v>885.71428571428578</v>
      </c>
      <c r="O71" s="68"/>
      <c r="P71" s="68">
        <v>5810.2857142857138</v>
      </c>
      <c r="Q71" s="68"/>
      <c r="R71" s="68">
        <v>0</v>
      </c>
      <c r="S71" s="68">
        <v>1145.2142857142862</v>
      </c>
      <c r="T71" s="68">
        <v>13653.714285714286</v>
      </c>
      <c r="U71" s="69">
        <v>664.28571428571433</v>
      </c>
      <c r="V71" s="69">
        <v>239</v>
      </c>
      <c r="W71" s="68">
        <v>0</v>
      </c>
      <c r="X71" s="68">
        <v>0</v>
      </c>
      <c r="Y71" s="68">
        <v>903.28571428571433</v>
      </c>
      <c r="Z71" s="68">
        <v>12750.428571428572</v>
      </c>
    </row>
    <row r="72" spans="1:26" x14ac:dyDescent="0.2">
      <c r="A72" s="74" t="s">
        <v>1103</v>
      </c>
      <c r="B72" s="75">
        <v>67</v>
      </c>
      <c r="C72" s="75" t="s">
        <v>963</v>
      </c>
      <c r="D72" s="97" t="s">
        <v>50</v>
      </c>
      <c r="E72" s="97" t="s">
        <v>234</v>
      </c>
      <c r="F72" s="76">
        <v>43009</v>
      </c>
      <c r="G72" s="133">
        <v>28</v>
      </c>
      <c r="H72" s="133" t="e">
        <v>#REF!</v>
      </c>
      <c r="I72" s="153">
        <v>25</v>
      </c>
      <c r="J72" s="68">
        <v>5000</v>
      </c>
      <c r="K72" s="68">
        <v>0</v>
      </c>
      <c r="L72" s="68">
        <v>250</v>
      </c>
      <c r="M72" s="68"/>
      <c r="N72" s="68">
        <v>800</v>
      </c>
      <c r="O72" s="68"/>
      <c r="P72" s="68">
        <v>5248</v>
      </c>
      <c r="Q72" s="68"/>
      <c r="R72" s="68">
        <v>0</v>
      </c>
      <c r="S72" s="68">
        <v>0</v>
      </c>
      <c r="T72" s="68">
        <v>11298</v>
      </c>
      <c r="U72" s="69">
        <v>600</v>
      </c>
      <c r="V72" s="69">
        <v>198</v>
      </c>
      <c r="W72" s="68">
        <v>0</v>
      </c>
      <c r="X72" s="68">
        <v>0</v>
      </c>
      <c r="Y72" s="68">
        <v>798</v>
      </c>
      <c r="Z72" s="68">
        <v>10500</v>
      </c>
    </row>
    <row r="73" spans="1:26" x14ac:dyDescent="0.2">
      <c r="A73" s="74" t="s">
        <v>1294</v>
      </c>
      <c r="B73" s="75">
        <v>68</v>
      </c>
      <c r="C73" s="75" t="s">
        <v>1042</v>
      </c>
      <c r="D73" s="97" t="s">
        <v>50</v>
      </c>
      <c r="E73" s="97" t="s">
        <v>238</v>
      </c>
      <c r="F73" s="76">
        <v>43009</v>
      </c>
      <c r="G73" s="133">
        <v>28</v>
      </c>
      <c r="H73" s="133" t="e">
        <v>#REF!</v>
      </c>
      <c r="I73" s="153">
        <v>28</v>
      </c>
      <c r="J73" s="68">
        <v>5535.7142857142862</v>
      </c>
      <c r="K73" s="68">
        <v>0</v>
      </c>
      <c r="L73" s="68">
        <v>276.78571428571433</v>
      </c>
      <c r="M73" s="68"/>
      <c r="N73" s="68">
        <v>885.71428571428578</v>
      </c>
      <c r="O73" s="68"/>
      <c r="P73" s="68">
        <v>5810.2857142857138</v>
      </c>
      <c r="Q73" s="68"/>
      <c r="R73" s="68">
        <v>0</v>
      </c>
      <c r="S73" s="68">
        <v>1145.2142857142862</v>
      </c>
      <c r="T73" s="68">
        <v>13653.714285714286</v>
      </c>
      <c r="U73" s="69">
        <v>664.28571428571433</v>
      </c>
      <c r="V73" s="69">
        <v>239</v>
      </c>
      <c r="W73" s="68">
        <v>0</v>
      </c>
      <c r="X73" s="68">
        <v>0</v>
      </c>
      <c r="Y73" s="68">
        <v>903.28571428571433</v>
      </c>
      <c r="Z73" s="68">
        <v>12750.428571428572</v>
      </c>
    </row>
    <row r="74" spans="1:26" x14ac:dyDescent="0.2">
      <c r="A74" s="74" t="s">
        <v>1168</v>
      </c>
      <c r="B74" s="75">
        <v>69</v>
      </c>
      <c r="C74" s="75" t="s">
        <v>949</v>
      </c>
      <c r="D74" s="97" t="s">
        <v>50</v>
      </c>
      <c r="E74" s="97" t="s">
        <v>581</v>
      </c>
      <c r="F74" s="76">
        <v>43009</v>
      </c>
      <c r="G74" s="133">
        <v>28</v>
      </c>
      <c r="H74" s="133" t="e">
        <v>#REF!</v>
      </c>
      <c r="I74" s="153">
        <v>11</v>
      </c>
      <c r="J74" s="68">
        <v>2053.5714285714289</v>
      </c>
      <c r="K74" s="68">
        <v>0</v>
      </c>
      <c r="L74" s="68">
        <v>102.67857142857144</v>
      </c>
      <c r="M74" s="68"/>
      <c r="N74" s="68">
        <v>328.57142857142861</v>
      </c>
      <c r="O74" s="68"/>
      <c r="P74" s="68">
        <v>3618.8035714285716</v>
      </c>
      <c r="Q74" s="68"/>
      <c r="R74" s="68">
        <v>0</v>
      </c>
      <c r="S74" s="68">
        <v>0</v>
      </c>
      <c r="T74" s="68">
        <v>6103.625</v>
      </c>
      <c r="U74" s="69">
        <v>246.42857142857144</v>
      </c>
      <c r="V74" s="69">
        <v>107</v>
      </c>
      <c r="W74" s="68">
        <v>0</v>
      </c>
      <c r="X74" s="68">
        <v>0</v>
      </c>
      <c r="Y74" s="68">
        <v>353.42857142857144</v>
      </c>
      <c r="Z74" s="68">
        <v>5750.1964285714284</v>
      </c>
    </row>
    <row r="75" spans="1:26" x14ac:dyDescent="0.2">
      <c r="A75" s="74" t="s">
        <v>1298</v>
      </c>
      <c r="B75" s="75">
        <v>70</v>
      </c>
      <c r="C75" s="75" t="s">
        <v>403</v>
      </c>
      <c r="D75" s="97" t="s">
        <v>50</v>
      </c>
      <c r="E75" s="97" t="s">
        <v>581</v>
      </c>
      <c r="F75" s="76">
        <v>43009</v>
      </c>
      <c r="G75" s="133">
        <v>28</v>
      </c>
      <c r="H75" s="133" t="e">
        <v>#REF!</v>
      </c>
      <c r="I75" s="153">
        <v>14</v>
      </c>
      <c r="J75" s="68">
        <v>2500</v>
      </c>
      <c r="K75" s="68">
        <v>0</v>
      </c>
      <c r="L75" s="68">
        <v>125</v>
      </c>
      <c r="M75" s="68"/>
      <c r="N75" s="68">
        <v>400</v>
      </c>
      <c r="O75" s="68"/>
      <c r="P75" s="68">
        <v>3387.5</v>
      </c>
      <c r="Q75" s="68"/>
      <c r="R75" s="68">
        <v>0</v>
      </c>
      <c r="S75" s="68">
        <v>0</v>
      </c>
      <c r="T75" s="68">
        <v>6412.5</v>
      </c>
      <c r="U75" s="69">
        <v>300</v>
      </c>
      <c r="V75" s="69">
        <v>113</v>
      </c>
      <c r="W75" s="68">
        <v>0</v>
      </c>
      <c r="X75" s="68">
        <v>0</v>
      </c>
      <c r="Y75" s="68">
        <v>413</v>
      </c>
      <c r="Z75" s="68">
        <v>5999.5</v>
      </c>
    </row>
    <row r="76" spans="1:26" x14ac:dyDescent="0.2">
      <c r="A76" s="74" t="s">
        <v>1299</v>
      </c>
      <c r="B76" s="75">
        <v>71</v>
      </c>
      <c r="C76" s="75" t="s">
        <v>1046</v>
      </c>
      <c r="D76" s="97" t="s">
        <v>50</v>
      </c>
      <c r="E76" s="97" t="s">
        <v>581</v>
      </c>
      <c r="F76" s="76">
        <v>43009</v>
      </c>
      <c r="G76" s="133">
        <v>28</v>
      </c>
      <c r="H76" s="133" t="e">
        <v>#REF!</v>
      </c>
      <c r="I76" s="153">
        <v>27</v>
      </c>
      <c r="J76" s="68">
        <v>5000</v>
      </c>
      <c r="K76" s="68">
        <v>0</v>
      </c>
      <c r="L76" s="68">
        <v>250</v>
      </c>
      <c r="M76" s="68"/>
      <c r="N76" s="68">
        <v>800</v>
      </c>
      <c r="O76" s="68"/>
      <c r="P76" s="68">
        <v>5757</v>
      </c>
      <c r="Q76" s="68"/>
      <c r="R76" s="68">
        <v>0</v>
      </c>
      <c r="S76" s="68">
        <v>0</v>
      </c>
      <c r="T76" s="68">
        <v>11807</v>
      </c>
      <c r="U76" s="69">
        <v>600</v>
      </c>
      <c r="V76" s="69">
        <v>207</v>
      </c>
      <c r="W76" s="68">
        <v>0</v>
      </c>
      <c r="X76" s="68">
        <v>0</v>
      </c>
      <c r="Y76" s="68">
        <v>807</v>
      </c>
      <c r="Z76" s="68">
        <v>11000</v>
      </c>
    </row>
    <row r="77" spans="1:26" x14ac:dyDescent="0.2">
      <c r="A77" s="74" t="s">
        <v>1302</v>
      </c>
      <c r="B77" s="75">
        <v>72</v>
      </c>
      <c r="C77" s="75" t="s">
        <v>1049</v>
      </c>
      <c r="D77" s="97" t="s">
        <v>50</v>
      </c>
      <c r="E77" s="97" t="s">
        <v>1039</v>
      </c>
      <c r="F77" s="76">
        <v>43009</v>
      </c>
      <c r="G77" s="133">
        <v>28</v>
      </c>
      <c r="H77" s="133" t="e">
        <v>#REF!</v>
      </c>
      <c r="I77" s="153">
        <f>VLOOKUP(A77,'attendance '!C76:AJ160,34,0)</f>
        <v>27</v>
      </c>
      <c r="J77" s="68">
        <v>5535.7142857142862</v>
      </c>
      <c r="K77" s="68">
        <v>0</v>
      </c>
      <c r="L77" s="68">
        <v>276.78571428571433</v>
      </c>
      <c r="M77" s="68"/>
      <c r="N77" s="68">
        <v>885.71428571428578</v>
      </c>
      <c r="O77" s="68"/>
      <c r="P77" s="68">
        <v>18323.214285714286</v>
      </c>
      <c r="Q77" s="68"/>
      <c r="R77" s="68">
        <v>0</v>
      </c>
      <c r="S77" s="68">
        <v>2357</v>
      </c>
      <c r="T77" s="68">
        <v>27378.428571428572</v>
      </c>
      <c r="U77" s="69">
        <v>664.28571428571433</v>
      </c>
      <c r="V77" s="69">
        <v>0</v>
      </c>
      <c r="W77" s="68">
        <v>0</v>
      </c>
      <c r="X77" s="68">
        <v>0</v>
      </c>
      <c r="Y77" s="68">
        <v>664.28571428571433</v>
      </c>
      <c r="Z77" s="68">
        <v>26714.142857142859</v>
      </c>
    </row>
    <row r="78" spans="1:26" x14ac:dyDescent="0.2">
      <c r="A78" s="74" t="s">
        <v>1438</v>
      </c>
      <c r="B78" s="75">
        <v>73</v>
      </c>
      <c r="C78" s="75" t="s">
        <v>1413</v>
      </c>
      <c r="D78" s="97" t="s">
        <v>50</v>
      </c>
      <c r="E78" s="97" t="s">
        <v>237</v>
      </c>
      <c r="F78" s="76">
        <v>43009</v>
      </c>
      <c r="G78" s="133">
        <v>28</v>
      </c>
      <c r="H78" s="133" t="e">
        <v>#REF!</v>
      </c>
      <c r="I78" s="153">
        <f>VLOOKUP(A78,'attendance '!C77:AJ161,34,0)</f>
        <v>28</v>
      </c>
      <c r="J78" s="68">
        <v>5178.5714285714294</v>
      </c>
      <c r="K78" s="68">
        <v>0</v>
      </c>
      <c r="L78" s="68">
        <v>258.9285714285715</v>
      </c>
      <c r="M78" s="68"/>
      <c r="N78" s="68">
        <v>828.57142857142867</v>
      </c>
      <c r="O78" s="68"/>
      <c r="P78" s="68">
        <v>5435.4285714285706</v>
      </c>
      <c r="Q78" s="68"/>
      <c r="R78" s="68">
        <v>0</v>
      </c>
      <c r="S78" s="68">
        <v>382.07142857142935</v>
      </c>
      <c r="T78" s="68">
        <v>12083.571428571429</v>
      </c>
      <c r="U78" s="69">
        <v>621.42857142857144</v>
      </c>
      <c r="V78" s="69">
        <v>212</v>
      </c>
      <c r="W78" s="68">
        <v>0</v>
      </c>
      <c r="X78" s="68">
        <v>0</v>
      </c>
      <c r="Y78" s="68">
        <v>833.42857142857144</v>
      </c>
      <c r="Z78" s="68">
        <v>11250.142857142859</v>
      </c>
    </row>
    <row r="79" spans="1:26" x14ac:dyDescent="0.2">
      <c r="A79" s="74" t="s">
        <v>1435</v>
      </c>
      <c r="B79" s="75">
        <v>74</v>
      </c>
      <c r="C79" s="75" t="s">
        <v>1408</v>
      </c>
      <c r="D79" s="97" t="s">
        <v>50</v>
      </c>
      <c r="E79" s="97" t="s">
        <v>238</v>
      </c>
      <c r="F79" s="76">
        <v>43009</v>
      </c>
      <c r="G79" s="133">
        <v>28</v>
      </c>
      <c r="H79" s="133" t="e">
        <v>#REF!</v>
      </c>
      <c r="I79" s="153">
        <v>27</v>
      </c>
      <c r="J79" s="68">
        <v>5357.1428571428578</v>
      </c>
      <c r="K79" s="68">
        <v>0</v>
      </c>
      <c r="L79" s="68">
        <v>267.85714285714289</v>
      </c>
      <c r="M79" s="68"/>
      <c r="N79" s="68">
        <v>857.14285714285722</v>
      </c>
      <c r="O79" s="68"/>
      <c r="P79" s="68">
        <v>5622.8571428571422</v>
      </c>
      <c r="Q79" s="68"/>
      <c r="R79" s="68">
        <v>0</v>
      </c>
      <c r="S79" s="68">
        <v>764.14285714285688</v>
      </c>
      <c r="T79" s="68">
        <v>12869.142857142857</v>
      </c>
      <c r="U79" s="69">
        <v>642.85714285714289</v>
      </c>
      <c r="V79" s="69">
        <v>226</v>
      </c>
      <c r="W79" s="68">
        <v>0</v>
      </c>
      <c r="X79" s="68">
        <v>0</v>
      </c>
      <c r="Y79" s="68">
        <v>868.85714285714289</v>
      </c>
      <c r="Z79" s="68">
        <v>12000.285714285714</v>
      </c>
    </row>
    <row r="80" spans="1:26" x14ac:dyDescent="0.2">
      <c r="A80" s="74" t="s">
        <v>1448</v>
      </c>
      <c r="B80" s="75">
        <v>75</v>
      </c>
      <c r="C80" s="75" t="s">
        <v>1409</v>
      </c>
      <c r="D80" s="97" t="s">
        <v>50</v>
      </c>
      <c r="E80" s="97" t="s">
        <v>239</v>
      </c>
      <c r="F80" s="76">
        <v>43009</v>
      </c>
      <c r="G80" s="133">
        <v>28</v>
      </c>
      <c r="H80" s="133" t="e">
        <v>#REF!</v>
      </c>
      <c r="I80" s="153">
        <v>27</v>
      </c>
      <c r="J80" s="68">
        <v>5535.7142857142862</v>
      </c>
      <c r="K80" s="68">
        <v>0</v>
      </c>
      <c r="L80" s="68">
        <v>276.78571428571433</v>
      </c>
      <c r="M80" s="68"/>
      <c r="N80" s="68">
        <v>885.71428571428578</v>
      </c>
      <c r="O80" s="68"/>
      <c r="P80" s="68">
        <v>5810.2857142857138</v>
      </c>
      <c r="Q80" s="68"/>
      <c r="R80" s="68">
        <v>0</v>
      </c>
      <c r="S80" s="68">
        <v>1145.2142857142862</v>
      </c>
      <c r="T80" s="68">
        <v>13653.714285714286</v>
      </c>
      <c r="U80" s="69">
        <v>664.28571428571433</v>
      </c>
      <c r="V80" s="69">
        <v>239</v>
      </c>
      <c r="W80" s="68">
        <v>0</v>
      </c>
      <c r="X80" s="68">
        <v>0</v>
      </c>
      <c r="Y80" s="68">
        <v>903.28571428571433</v>
      </c>
      <c r="Z80" s="68">
        <v>12750.428571428572</v>
      </c>
    </row>
    <row r="81" spans="1:26" x14ac:dyDescent="0.2">
      <c r="A81" s="74" t="s">
        <v>1429</v>
      </c>
      <c r="B81" s="75">
        <v>76</v>
      </c>
      <c r="C81" s="75" t="s">
        <v>1401</v>
      </c>
      <c r="D81" s="97" t="s">
        <v>50</v>
      </c>
      <c r="E81" s="97" t="s">
        <v>234</v>
      </c>
      <c r="F81" s="76">
        <v>43009</v>
      </c>
      <c r="G81" s="133">
        <v>28</v>
      </c>
      <c r="H81" s="133" t="e">
        <v>#REF!</v>
      </c>
      <c r="I81" s="153">
        <v>24</v>
      </c>
      <c r="J81" s="68">
        <v>4821.4285714285716</v>
      </c>
      <c r="K81" s="68">
        <v>0</v>
      </c>
      <c r="L81" s="68">
        <v>241.07142857142858</v>
      </c>
      <c r="M81" s="68"/>
      <c r="N81" s="68">
        <v>771.42857142857144</v>
      </c>
      <c r="O81" s="68"/>
      <c r="P81" s="68">
        <v>5060.5714285714284</v>
      </c>
      <c r="Q81" s="68"/>
      <c r="R81" s="68">
        <v>0</v>
      </c>
      <c r="S81" s="68">
        <v>0</v>
      </c>
      <c r="T81" s="68">
        <v>10894.5</v>
      </c>
      <c r="U81" s="69">
        <v>578.57142857142856</v>
      </c>
      <c r="V81" s="69">
        <v>191</v>
      </c>
      <c r="W81" s="68">
        <v>0</v>
      </c>
      <c r="X81" s="68">
        <v>0</v>
      </c>
      <c r="Y81" s="68">
        <v>769.57142857142856</v>
      </c>
      <c r="Z81" s="68">
        <v>10124.928571428571</v>
      </c>
    </row>
    <row r="82" spans="1:26" x14ac:dyDescent="0.2">
      <c r="A82" s="74" t="s">
        <v>1446</v>
      </c>
      <c r="B82" s="75">
        <v>77</v>
      </c>
      <c r="C82" s="75" t="s">
        <v>367</v>
      </c>
      <c r="D82" s="97" t="s">
        <v>50</v>
      </c>
      <c r="E82" s="97" t="s">
        <v>234</v>
      </c>
      <c r="F82" s="76">
        <v>43009</v>
      </c>
      <c r="G82" s="133">
        <v>28</v>
      </c>
      <c r="H82" s="133" t="e">
        <v>#REF!</v>
      </c>
      <c r="I82" s="153">
        <v>26</v>
      </c>
      <c r="J82" s="68">
        <v>5357.1428571428578</v>
      </c>
      <c r="K82" s="68">
        <v>0</v>
      </c>
      <c r="L82" s="68">
        <v>267.85714285714289</v>
      </c>
      <c r="M82" s="68"/>
      <c r="N82" s="68">
        <v>857.14285714285722</v>
      </c>
      <c r="O82" s="68"/>
      <c r="P82" s="68">
        <v>5622.8571428571422</v>
      </c>
      <c r="Q82" s="68"/>
      <c r="R82" s="68">
        <v>0</v>
      </c>
      <c r="S82" s="68">
        <v>764.14285714285688</v>
      </c>
      <c r="T82" s="68">
        <v>12869.142857142857</v>
      </c>
      <c r="U82" s="69">
        <v>642.85714285714289</v>
      </c>
      <c r="V82" s="69">
        <v>226</v>
      </c>
      <c r="W82" s="68">
        <v>0</v>
      </c>
      <c r="X82" s="68">
        <v>0</v>
      </c>
      <c r="Y82" s="68">
        <v>868.85714285714289</v>
      </c>
      <c r="Z82" s="68">
        <v>12000.285714285714</v>
      </c>
    </row>
    <row r="83" spans="1:26" x14ac:dyDescent="0.2">
      <c r="A83" s="74" t="s">
        <v>1433</v>
      </c>
      <c r="B83" s="75">
        <v>78</v>
      </c>
      <c r="C83" s="75" t="s">
        <v>1405</v>
      </c>
      <c r="D83" s="97" t="s">
        <v>50</v>
      </c>
      <c r="E83" s="97" t="s">
        <v>234</v>
      </c>
      <c r="F83" s="76">
        <v>43009</v>
      </c>
      <c r="G83" s="133">
        <v>28</v>
      </c>
      <c r="H83" s="133" t="e">
        <v>#REF!</v>
      </c>
      <c r="I83" s="153">
        <v>26</v>
      </c>
      <c r="J83" s="68">
        <v>5000</v>
      </c>
      <c r="K83" s="68">
        <v>0</v>
      </c>
      <c r="L83" s="68">
        <v>250</v>
      </c>
      <c r="M83" s="68"/>
      <c r="N83" s="68">
        <v>800</v>
      </c>
      <c r="O83" s="68"/>
      <c r="P83" s="68">
        <v>5248</v>
      </c>
      <c r="Q83" s="68"/>
      <c r="R83" s="68">
        <v>0</v>
      </c>
      <c r="S83" s="68">
        <v>0</v>
      </c>
      <c r="T83" s="68">
        <v>11298</v>
      </c>
      <c r="U83" s="69">
        <v>600</v>
      </c>
      <c r="V83" s="69">
        <v>198</v>
      </c>
      <c r="W83" s="68">
        <v>0</v>
      </c>
      <c r="X83" s="68">
        <v>0</v>
      </c>
      <c r="Y83" s="68">
        <v>798</v>
      </c>
      <c r="Z83" s="68">
        <v>10500</v>
      </c>
    </row>
    <row r="84" spans="1:26" x14ac:dyDescent="0.2">
      <c r="A84" s="74" t="s">
        <v>1580</v>
      </c>
      <c r="B84" s="75">
        <v>79</v>
      </c>
      <c r="C84" s="75" t="s">
        <v>1454</v>
      </c>
      <c r="D84" s="97" t="s">
        <v>50</v>
      </c>
      <c r="E84" s="97" t="s">
        <v>235</v>
      </c>
      <c r="F84" s="76">
        <v>43009</v>
      </c>
      <c r="G84" s="133">
        <v>28</v>
      </c>
      <c r="H84" s="133" t="e">
        <v>#REF!</v>
      </c>
      <c r="I84" s="153">
        <v>28</v>
      </c>
      <c r="J84" s="68">
        <v>5000</v>
      </c>
      <c r="K84" s="68">
        <v>0</v>
      </c>
      <c r="L84" s="68">
        <v>250</v>
      </c>
      <c r="M84" s="68"/>
      <c r="N84" s="68">
        <v>800</v>
      </c>
      <c r="O84" s="68"/>
      <c r="P84" s="68">
        <v>5757</v>
      </c>
      <c r="Q84" s="68"/>
      <c r="R84" s="68">
        <v>0</v>
      </c>
      <c r="S84" s="68">
        <v>0</v>
      </c>
      <c r="T84" s="68">
        <v>11807</v>
      </c>
      <c r="U84" s="69">
        <v>600</v>
      </c>
      <c r="V84" s="69">
        <v>207</v>
      </c>
      <c r="W84" s="68">
        <v>0</v>
      </c>
      <c r="X84" s="68">
        <v>0</v>
      </c>
      <c r="Y84" s="68">
        <v>807</v>
      </c>
      <c r="Z84" s="68">
        <v>11000</v>
      </c>
    </row>
    <row r="85" spans="1:26" x14ac:dyDescent="0.2">
      <c r="A85" s="74" t="s">
        <v>1582</v>
      </c>
      <c r="B85" s="75">
        <v>80</v>
      </c>
      <c r="C85" s="75" t="s">
        <v>1456</v>
      </c>
      <c r="D85" s="97" t="s">
        <v>50</v>
      </c>
      <c r="E85" s="97" t="s">
        <v>581</v>
      </c>
      <c r="F85" s="76">
        <v>43009</v>
      </c>
      <c r="G85" s="133">
        <v>28</v>
      </c>
      <c r="H85" s="133" t="e">
        <v>#REF!</v>
      </c>
      <c r="I85" s="153">
        <v>28</v>
      </c>
      <c r="J85" s="68">
        <v>5535.7142857142862</v>
      </c>
      <c r="K85" s="68">
        <v>0</v>
      </c>
      <c r="L85" s="68">
        <v>276.78571428571433</v>
      </c>
      <c r="M85" s="68"/>
      <c r="N85" s="68">
        <v>885.71428571428578</v>
      </c>
      <c r="O85" s="68"/>
      <c r="P85" s="68">
        <v>6373.8214285714284</v>
      </c>
      <c r="Q85" s="68"/>
      <c r="R85" s="68">
        <v>0</v>
      </c>
      <c r="S85" s="68">
        <v>1199.75</v>
      </c>
      <c r="T85" s="68">
        <v>14271.785714285714</v>
      </c>
      <c r="U85" s="69">
        <v>664.28571428571433</v>
      </c>
      <c r="V85" s="69">
        <v>250</v>
      </c>
      <c r="W85" s="68">
        <v>0</v>
      </c>
      <c r="X85" s="68">
        <v>0</v>
      </c>
      <c r="Y85" s="68">
        <v>914.28571428571433</v>
      </c>
      <c r="Z85" s="68">
        <v>13357.5</v>
      </c>
    </row>
    <row r="86" spans="1:26" x14ac:dyDescent="0.2">
      <c r="A86" s="74" t="s">
        <v>1583</v>
      </c>
      <c r="B86" s="75">
        <v>81</v>
      </c>
      <c r="C86" s="75" t="s">
        <v>1457</v>
      </c>
      <c r="D86" s="97" t="s">
        <v>50</v>
      </c>
      <c r="E86" s="97" t="s">
        <v>1452</v>
      </c>
      <c r="F86" s="76">
        <v>43009</v>
      </c>
      <c r="G86" s="133">
        <v>28</v>
      </c>
      <c r="H86" s="133" t="e">
        <v>#REF!</v>
      </c>
      <c r="I86" s="153">
        <v>28</v>
      </c>
      <c r="J86" s="68">
        <v>5535.7142857142862</v>
      </c>
      <c r="K86" s="68">
        <v>0</v>
      </c>
      <c r="L86" s="68">
        <v>276.78571428571433</v>
      </c>
      <c r="M86" s="68"/>
      <c r="N86" s="68">
        <v>885.71428571428578</v>
      </c>
      <c r="O86" s="68"/>
      <c r="P86" s="68">
        <v>7500.8928571428578</v>
      </c>
      <c r="Q86" s="68"/>
      <c r="R86" s="68">
        <v>0</v>
      </c>
      <c r="S86" s="68">
        <v>1308.8214285714312</v>
      </c>
      <c r="T86" s="68">
        <v>15507.928571428576</v>
      </c>
      <c r="U86" s="69">
        <v>664.28571428571433</v>
      </c>
      <c r="V86" s="69">
        <v>272</v>
      </c>
      <c r="W86" s="68">
        <v>0</v>
      </c>
      <c r="X86" s="68">
        <v>0</v>
      </c>
      <c r="Y86" s="68">
        <v>936.28571428571433</v>
      </c>
      <c r="Z86" s="68">
        <v>14571.642857142862</v>
      </c>
    </row>
    <row r="87" spans="1:26" x14ac:dyDescent="0.2">
      <c r="A87" s="74" t="s">
        <v>1715</v>
      </c>
      <c r="B87" s="75">
        <v>82</v>
      </c>
      <c r="C87" s="75" t="s">
        <v>1708</v>
      </c>
      <c r="D87" s="97" t="s">
        <v>50</v>
      </c>
      <c r="E87" s="97" t="s">
        <v>581</v>
      </c>
      <c r="F87" s="76">
        <v>43141</v>
      </c>
      <c r="G87" s="133">
        <v>28</v>
      </c>
      <c r="H87" s="133" t="e">
        <v>#REF!</v>
      </c>
      <c r="I87" s="153">
        <v>19</v>
      </c>
      <c r="J87" s="68">
        <v>3928.5714285714289</v>
      </c>
      <c r="K87" s="68">
        <v>0</v>
      </c>
      <c r="L87" s="68">
        <v>196.42857142857144</v>
      </c>
      <c r="M87" s="68"/>
      <c r="N87" s="68">
        <v>628.57142857142856</v>
      </c>
      <c r="O87" s="68"/>
      <c r="P87" s="68">
        <v>5323.2142857142862</v>
      </c>
      <c r="Q87" s="68">
        <v>0</v>
      </c>
      <c r="R87" s="68">
        <v>0</v>
      </c>
      <c r="S87" s="68">
        <v>0</v>
      </c>
      <c r="T87" s="68">
        <v>10076.785714285714</v>
      </c>
      <c r="U87" s="69">
        <v>471.42857142857144</v>
      </c>
      <c r="V87" s="69">
        <v>177</v>
      </c>
      <c r="W87" s="68">
        <v>0</v>
      </c>
      <c r="X87" s="68">
        <v>0</v>
      </c>
      <c r="Y87" s="68">
        <v>648.42857142857144</v>
      </c>
      <c r="Z87" s="68">
        <v>9428.3571428571431</v>
      </c>
    </row>
    <row r="88" spans="1:26" x14ac:dyDescent="0.2">
      <c r="A88" s="74" t="s">
        <v>1716</v>
      </c>
      <c r="B88" s="75">
        <v>83</v>
      </c>
      <c r="C88" s="75" t="s">
        <v>1710</v>
      </c>
      <c r="D88" s="97" t="s">
        <v>50</v>
      </c>
      <c r="E88" s="97" t="s">
        <v>1452</v>
      </c>
      <c r="F88" s="76">
        <v>43153</v>
      </c>
      <c r="G88" s="133">
        <v>28</v>
      </c>
      <c r="H88" s="133" t="e">
        <v>#REF!</v>
      </c>
      <c r="I88" s="153">
        <v>7</v>
      </c>
      <c r="J88" s="68">
        <v>1428.5714285714287</v>
      </c>
      <c r="K88" s="68">
        <v>0</v>
      </c>
      <c r="L88" s="68">
        <v>71.428571428571431</v>
      </c>
      <c r="M88" s="68"/>
      <c r="N88" s="68">
        <v>228.57142857142858</v>
      </c>
      <c r="O88" s="68"/>
      <c r="P88" s="68">
        <v>1935.7142857142858</v>
      </c>
      <c r="Q88" s="68">
        <v>0</v>
      </c>
      <c r="R88" s="68">
        <v>0</v>
      </c>
      <c r="S88" s="68">
        <v>0</v>
      </c>
      <c r="T88" s="68">
        <v>3664.2857142857147</v>
      </c>
      <c r="U88" s="69">
        <v>171.42857142857144</v>
      </c>
      <c r="V88" s="69">
        <v>65</v>
      </c>
      <c r="W88" s="68">
        <v>0</v>
      </c>
      <c r="X88" s="68">
        <v>0</v>
      </c>
      <c r="Y88" s="68">
        <v>236.42857142857144</v>
      </c>
      <c r="Z88" s="68">
        <v>3427.8571428571431</v>
      </c>
    </row>
    <row r="89" spans="1:26" x14ac:dyDescent="0.2">
      <c r="A89" s="74" t="s">
        <v>1719</v>
      </c>
      <c r="B89" s="75">
        <v>84</v>
      </c>
      <c r="C89" s="75" t="s">
        <v>1707</v>
      </c>
      <c r="D89" s="97" t="s">
        <v>50</v>
      </c>
      <c r="E89" s="97" t="s">
        <v>581</v>
      </c>
      <c r="F89" s="76">
        <v>43129</v>
      </c>
      <c r="G89" s="133">
        <v>28</v>
      </c>
      <c r="H89" s="133" t="e">
        <v>#REF!</v>
      </c>
      <c r="I89" s="153">
        <v>26</v>
      </c>
      <c r="J89" s="68">
        <v>5178.5714285714294</v>
      </c>
      <c r="K89" s="68">
        <v>0</v>
      </c>
      <c r="L89" s="68">
        <v>258.9285714285715</v>
      </c>
      <c r="M89" s="68"/>
      <c r="N89" s="68">
        <v>828.57142857142867</v>
      </c>
      <c r="O89" s="68"/>
      <c r="P89" s="68">
        <v>7016.9642857142862</v>
      </c>
      <c r="Q89" s="68">
        <v>0</v>
      </c>
      <c r="R89" s="68">
        <v>0</v>
      </c>
      <c r="S89" s="68">
        <v>436.60714285714494</v>
      </c>
      <c r="T89" s="68">
        <v>13719.642857142861</v>
      </c>
      <c r="U89" s="69">
        <v>621.42857142857144</v>
      </c>
      <c r="V89" s="69">
        <v>241</v>
      </c>
      <c r="W89" s="68">
        <v>0</v>
      </c>
      <c r="X89" s="68">
        <v>0</v>
      </c>
      <c r="Y89" s="68">
        <v>862.42857142857144</v>
      </c>
      <c r="Z89" s="68">
        <v>12857.21428571429</v>
      </c>
    </row>
    <row r="90" spans="1:26" x14ac:dyDescent="0.2">
      <c r="A90" s="74" t="s">
        <v>1720</v>
      </c>
      <c r="B90" s="75">
        <v>85</v>
      </c>
      <c r="C90" s="75" t="s">
        <v>1709</v>
      </c>
      <c r="D90" s="97" t="s">
        <v>50</v>
      </c>
      <c r="E90" s="97" t="s">
        <v>1451</v>
      </c>
      <c r="F90" s="76">
        <v>43142</v>
      </c>
      <c r="G90" s="133">
        <v>28</v>
      </c>
      <c r="H90" s="133" t="e">
        <v>#REF!</v>
      </c>
      <c r="I90" s="153">
        <v>18</v>
      </c>
      <c r="J90" s="68">
        <v>3750.0000000000005</v>
      </c>
      <c r="K90" s="68">
        <v>0</v>
      </c>
      <c r="L90" s="68">
        <v>187.50000000000003</v>
      </c>
      <c r="M90" s="68"/>
      <c r="N90" s="68">
        <v>600</v>
      </c>
      <c r="O90" s="68"/>
      <c r="P90" s="68">
        <v>5081.25</v>
      </c>
      <c r="Q90" s="68">
        <v>0</v>
      </c>
      <c r="R90" s="68">
        <v>0</v>
      </c>
      <c r="S90" s="68">
        <v>0</v>
      </c>
      <c r="T90" s="68">
        <v>9618.75</v>
      </c>
      <c r="U90" s="69">
        <v>450.00000000000006</v>
      </c>
      <c r="V90" s="69">
        <v>169</v>
      </c>
      <c r="W90" s="68">
        <v>0</v>
      </c>
      <c r="X90" s="68">
        <v>0</v>
      </c>
      <c r="Y90" s="68">
        <v>619</v>
      </c>
      <c r="Z90" s="68">
        <v>8999.75</v>
      </c>
    </row>
    <row r="91" spans="1:26" s="62" customFormat="1" x14ac:dyDescent="0.2">
      <c r="A91" s="72"/>
      <c r="B91" s="72"/>
      <c r="C91" s="72"/>
      <c r="D91" s="72"/>
      <c r="E91" s="72"/>
      <c r="F91" s="72"/>
      <c r="G91" s="72"/>
      <c r="H91" s="72"/>
      <c r="I91" s="134">
        <f>SUM(I6:I90)</f>
        <v>2077</v>
      </c>
      <c r="J91" s="73">
        <v>410446.42857142835</v>
      </c>
      <c r="K91" s="73">
        <v>0</v>
      </c>
      <c r="L91" s="73">
        <v>20522.321428571424</v>
      </c>
      <c r="M91" s="73">
        <v>0</v>
      </c>
      <c r="N91" s="73">
        <v>66557.142857142826</v>
      </c>
      <c r="O91" s="73">
        <v>0</v>
      </c>
      <c r="P91" s="73">
        <v>532752.4107142858</v>
      </c>
      <c r="Q91" s="73">
        <v>0</v>
      </c>
      <c r="R91" s="73">
        <v>0</v>
      </c>
      <c r="S91" s="73">
        <v>46581.464285714275</v>
      </c>
      <c r="T91" s="73">
        <v>1076859.7678571432</v>
      </c>
      <c r="U91" s="73">
        <v>49253.571428571457</v>
      </c>
      <c r="V91" s="104">
        <v>18406</v>
      </c>
      <c r="W91" s="104">
        <v>0</v>
      </c>
      <c r="X91" s="104">
        <v>0</v>
      </c>
      <c r="Y91" s="73">
        <v>67659.571428571449</v>
      </c>
      <c r="Z91" s="73">
        <v>1009200.196428571</v>
      </c>
    </row>
    <row r="93" spans="1:26" x14ac:dyDescent="0.2">
      <c r="I93" s="138"/>
      <c r="J93" s="139"/>
      <c r="L93" s="139"/>
      <c r="N93" s="139"/>
      <c r="P93" s="139"/>
      <c r="S93" s="140"/>
      <c r="U93" s="140"/>
      <c r="V93" s="140"/>
      <c r="Z93" s="140"/>
    </row>
    <row r="94" spans="1:26" x14ac:dyDescent="0.2">
      <c r="I94" s="138"/>
      <c r="J94" s="139"/>
      <c r="L94" s="139"/>
      <c r="N94" s="139"/>
      <c r="P94" s="139"/>
      <c r="S94" s="139"/>
      <c r="U94" s="140"/>
      <c r="V94" s="140"/>
    </row>
    <row r="95" spans="1:26" x14ac:dyDescent="0.2"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x14ac:dyDescent="0.2">
      <c r="I96" s="110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1047982" spans="3:3" x14ac:dyDescent="0.2">
      <c r="C1047982" s="106" t="s">
        <v>1911</v>
      </c>
    </row>
  </sheetData>
  <autoFilter ref="A5:AA91" xr:uid="{00000000-0009-0000-0000-000005000000}"/>
  <sortState ref="A6:AA90">
    <sortCondition ref="A6:A90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0"/>
  <sheetViews>
    <sheetView tabSelected="1" workbookViewId="0">
      <selection activeCell="F21" sqref="F21"/>
    </sheetView>
  </sheetViews>
  <sheetFormatPr defaultRowHeight="15" x14ac:dyDescent="0.25"/>
  <cols>
    <col min="1" max="1" width="5.85546875" style="143" bestFit="1" customWidth="1"/>
    <col min="2" max="2" width="8.85546875" style="143" bestFit="1" customWidth="1"/>
    <col min="3" max="3" width="10.42578125" style="143" bestFit="1" customWidth="1"/>
    <col min="4" max="4" width="22.42578125" style="143" bestFit="1" customWidth="1"/>
    <col min="5" max="5" width="13.42578125" style="156" bestFit="1" customWidth="1"/>
    <col min="6" max="6" width="14.42578125" style="143" bestFit="1" customWidth="1"/>
    <col min="7" max="7" width="10.140625" style="143" bestFit="1" customWidth="1"/>
    <col min="8" max="10" width="2.28515625" style="143" bestFit="1" customWidth="1"/>
    <col min="11" max="11" width="4.28515625" style="150" bestFit="1" customWidth="1"/>
    <col min="12" max="16" width="2.28515625" style="143" bestFit="1" customWidth="1"/>
    <col min="17" max="17" width="4" style="143" bestFit="1" customWidth="1"/>
    <col min="18" max="18" width="4.28515625" style="150" bestFit="1" customWidth="1"/>
    <col min="19" max="23" width="3" style="143" bestFit="1" customWidth="1"/>
    <col min="24" max="24" width="4" style="143" bestFit="1" customWidth="1"/>
    <col min="25" max="25" width="4.28515625" style="150" bestFit="1" customWidth="1"/>
    <col min="26" max="31" width="3" style="143" bestFit="1" customWidth="1"/>
    <col min="32" max="32" width="4.28515625" style="150" bestFit="1" customWidth="1"/>
    <col min="33" max="35" width="3" style="143" bestFit="1" customWidth="1"/>
    <col min="36" max="16384" width="9.140625" style="143"/>
  </cols>
  <sheetData>
    <row r="1" spans="1:36" x14ac:dyDescent="0.25">
      <c r="D1" s="106" t="s">
        <v>24</v>
      </c>
    </row>
    <row r="2" spans="1:36" x14ac:dyDescent="0.25">
      <c r="D2" s="106" t="s">
        <v>1914</v>
      </c>
    </row>
    <row r="4" spans="1:36" s="147" customFormat="1" x14ac:dyDescent="0.25">
      <c r="A4" s="146" t="s">
        <v>1913</v>
      </c>
      <c r="B4" s="146" t="s">
        <v>1725</v>
      </c>
      <c r="C4" s="146" t="s">
        <v>1910</v>
      </c>
      <c r="D4" s="146" t="s">
        <v>1726</v>
      </c>
      <c r="E4" s="157" t="s">
        <v>1727</v>
      </c>
      <c r="F4" s="146" t="s">
        <v>2</v>
      </c>
      <c r="G4" s="146" t="s">
        <v>1728</v>
      </c>
      <c r="H4" s="146">
        <v>1</v>
      </c>
      <c r="I4" s="146">
        <v>2</v>
      </c>
      <c r="J4" s="146">
        <v>3</v>
      </c>
      <c r="K4" s="148">
        <v>4</v>
      </c>
      <c r="L4" s="146">
        <v>5</v>
      </c>
      <c r="M4" s="146">
        <v>6</v>
      </c>
      <c r="N4" s="146">
        <v>7</v>
      </c>
      <c r="O4" s="146">
        <v>8</v>
      </c>
      <c r="P4" s="146">
        <v>9</v>
      </c>
      <c r="Q4" s="146">
        <v>10</v>
      </c>
      <c r="R4" s="148">
        <v>11</v>
      </c>
      <c r="S4" s="146">
        <v>12</v>
      </c>
      <c r="T4" s="146">
        <v>13</v>
      </c>
      <c r="U4" s="146">
        <v>14</v>
      </c>
      <c r="V4" s="146">
        <v>15</v>
      </c>
      <c r="W4" s="146">
        <v>16</v>
      </c>
      <c r="X4" s="146">
        <v>17</v>
      </c>
      <c r="Y4" s="148">
        <v>18</v>
      </c>
      <c r="Z4" s="146">
        <v>19</v>
      </c>
      <c r="AA4" s="146">
        <v>20</v>
      </c>
      <c r="AB4" s="146">
        <v>21</v>
      </c>
      <c r="AC4" s="146">
        <v>22</v>
      </c>
      <c r="AD4" s="146">
        <v>23</v>
      </c>
      <c r="AE4" s="146">
        <v>24</v>
      </c>
      <c r="AF4" s="148">
        <v>25</v>
      </c>
      <c r="AG4" s="146">
        <v>26</v>
      </c>
      <c r="AH4" s="146">
        <v>27</v>
      </c>
      <c r="AI4" s="146">
        <v>28</v>
      </c>
      <c r="AJ4" s="147" t="s">
        <v>669</v>
      </c>
    </row>
    <row r="5" spans="1:36" x14ac:dyDescent="0.25">
      <c r="A5" s="144">
        <v>1</v>
      </c>
      <c r="B5" s="142" t="s">
        <v>1731</v>
      </c>
      <c r="C5" s="142" t="s">
        <v>82</v>
      </c>
      <c r="D5" s="141" t="s">
        <v>1732</v>
      </c>
      <c r="E5" s="155">
        <v>43009</v>
      </c>
      <c r="F5" s="141" t="s">
        <v>1452</v>
      </c>
      <c r="G5" s="141" t="s">
        <v>1733</v>
      </c>
      <c r="H5" s="141" t="s">
        <v>1734</v>
      </c>
      <c r="I5" s="141" t="s">
        <v>1734</v>
      </c>
      <c r="J5" s="141" t="s">
        <v>1734</v>
      </c>
      <c r="K5" s="149" t="s">
        <v>1734</v>
      </c>
      <c r="L5" s="141" t="s">
        <v>1734</v>
      </c>
      <c r="M5" s="141" t="s">
        <v>1734</v>
      </c>
      <c r="N5" s="141" t="s">
        <v>1734</v>
      </c>
      <c r="O5" s="141" t="s">
        <v>1729</v>
      </c>
      <c r="P5" s="141" t="s">
        <v>1729</v>
      </c>
      <c r="Q5" s="141" t="s">
        <v>1729</v>
      </c>
      <c r="R5" s="149" t="s">
        <v>1730</v>
      </c>
      <c r="S5" s="141" t="s">
        <v>1729</v>
      </c>
      <c r="T5" s="141" t="s">
        <v>1729</v>
      </c>
      <c r="U5" s="141" t="s">
        <v>1729</v>
      </c>
      <c r="V5" s="141" t="s">
        <v>1729</v>
      </c>
      <c r="W5" s="141" t="s">
        <v>1729</v>
      </c>
      <c r="X5" s="141" t="s">
        <v>1729</v>
      </c>
      <c r="Y5" s="149" t="s">
        <v>1730</v>
      </c>
      <c r="Z5" s="141" t="s">
        <v>1729</v>
      </c>
      <c r="AA5" s="141" t="s">
        <v>1729</v>
      </c>
      <c r="AB5" s="141" t="s">
        <v>1729</v>
      </c>
      <c r="AC5" s="141" t="s">
        <v>1729</v>
      </c>
      <c r="AD5" s="141" t="s">
        <v>1729</v>
      </c>
      <c r="AE5" s="141" t="s">
        <v>1729</v>
      </c>
      <c r="AF5" s="149" t="s">
        <v>1730</v>
      </c>
      <c r="AG5" s="141" t="s">
        <v>1729</v>
      </c>
      <c r="AH5" s="141" t="s">
        <v>1729</v>
      </c>
      <c r="AI5" s="141" t="s">
        <v>1729</v>
      </c>
      <c r="AJ5" s="143">
        <v>21</v>
      </c>
    </row>
    <row r="6" spans="1:36" x14ac:dyDescent="0.25">
      <c r="A6" s="144">
        <v>2</v>
      </c>
      <c r="B6" s="142" t="s">
        <v>1735</v>
      </c>
      <c r="C6" s="142" t="s">
        <v>90</v>
      </c>
      <c r="D6" s="141" t="s">
        <v>1736</v>
      </c>
      <c r="E6" s="155">
        <v>43009</v>
      </c>
      <c r="F6" s="141" t="s">
        <v>1737</v>
      </c>
      <c r="G6" s="141" t="s">
        <v>1733</v>
      </c>
      <c r="H6" s="141" t="s">
        <v>1729</v>
      </c>
      <c r="I6" s="141" t="s">
        <v>1729</v>
      </c>
      <c r="J6" s="141" t="s">
        <v>1729</v>
      </c>
      <c r="K6" s="149" t="s">
        <v>1730</v>
      </c>
      <c r="L6" s="141" t="s">
        <v>1729</v>
      </c>
      <c r="M6" s="141" t="s">
        <v>1729</v>
      </c>
      <c r="N6" s="141" t="s">
        <v>1729</v>
      </c>
      <c r="O6" s="141" t="s">
        <v>1729</v>
      </c>
      <c r="P6" s="141" t="s">
        <v>1729</v>
      </c>
      <c r="Q6" s="141" t="s">
        <v>1729</v>
      </c>
      <c r="R6" s="149" t="s">
        <v>1730</v>
      </c>
      <c r="S6" s="141" t="s">
        <v>1729</v>
      </c>
      <c r="T6" s="141" t="s">
        <v>1729</v>
      </c>
      <c r="U6" s="141" t="s">
        <v>1729</v>
      </c>
      <c r="V6" s="141" t="s">
        <v>1729</v>
      </c>
      <c r="W6" s="141" t="s">
        <v>1729</v>
      </c>
      <c r="X6" s="141" t="s">
        <v>1729</v>
      </c>
      <c r="Y6" s="149" t="s">
        <v>1730</v>
      </c>
      <c r="Z6" s="141" t="s">
        <v>1729</v>
      </c>
      <c r="AA6" s="141" t="s">
        <v>1729</v>
      </c>
      <c r="AB6" s="141" t="s">
        <v>1729</v>
      </c>
      <c r="AC6" s="141" t="s">
        <v>1729</v>
      </c>
      <c r="AD6" s="141" t="s">
        <v>1729</v>
      </c>
      <c r="AE6" s="141" t="s">
        <v>1729</v>
      </c>
      <c r="AF6" s="149" t="s">
        <v>1730</v>
      </c>
      <c r="AG6" s="141" t="s">
        <v>1729</v>
      </c>
      <c r="AH6" s="141" t="s">
        <v>1729</v>
      </c>
      <c r="AI6" s="141" t="s">
        <v>1729</v>
      </c>
      <c r="AJ6" s="143">
        <v>28</v>
      </c>
    </row>
    <row r="7" spans="1:36" x14ac:dyDescent="0.25">
      <c r="A7" s="144">
        <v>3</v>
      </c>
      <c r="B7" s="142" t="s">
        <v>1738</v>
      </c>
      <c r="C7" s="142" t="s">
        <v>160</v>
      </c>
      <c r="D7" s="141" t="s">
        <v>1739</v>
      </c>
      <c r="E7" s="155">
        <v>43009</v>
      </c>
      <c r="F7" s="141" t="s">
        <v>1737</v>
      </c>
      <c r="G7" s="141" t="s">
        <v>1733</v>
      </c>
      <c r="H7" s="141" t="s">
        <v>1729</v>
      </c>
      <c r="I7" s="141" t="s">
        <v>1729</v>
      </c>
      <c r="J7" s="141" t="s">
        <v>1729</v>
      </c>
      <c r="K7" s="149" t="s">
        <v>1730</v>
      </c>
      <c r="L7" s="141" t="s">
        <v>1729</v>
      </c>
      <c r="M7" s="141" t="s">
        <v>1729</v>
      </c>
      <c r="N7" s="141" t="s">
        <v>1729</v>
      </c>
      <c r="O7" s="141" t="s">
        <v>1729</v>
      </c>
      <c r="P7" s="141" t="s">
        <v>1729</v>
      </c>
      <c r="Q7" s="141" t="s">
        <v>1729</v>
      </c>
      <c r="R7" s="149" t="s">
        <v>1730</v>
      </c>
      <c r="S7" s="141" t="s">
        <v>1729</v>
      </c>
      <c r="T7" s="141" t="s">
        <v>1729</v>
      </c>
      <c r="U7" s="141" t="s">
        <v>1729</v>
      </c>
      <c r="V7" s="141" t="s">
        <v>1729</v>
      </c>
      <c r="W7" s="141" t="s">
        <v>1729</v>
      </c>
      <c r="X7" s="141" t="s">
        <v>1729</v>
      </c>
      <c r="Y7" s="149" t="s">
        <v>1730</v>
      </c>
      <c r="Z7" s="141" t="s">
        <v>1729</v>
      </c>
      <c r="AA7" s="141" t="s">
        <v>1729</v>
      </c>
      <c r="AB7" s="141" t="s">
        <v>1729</v>
      </c>
      <c r="AC7" s="141" t="s">
        <v>1729</v>
      </c>
      <c r="AD7" s="141" t="s">
        <v>1729</v>
      </c>
      <c r="AE7" s="141" t="s">
        <v>1729</v>
      </c>
      <c r="AF7" s="149" t="s">
        <v>1730</v>
      </c>
      <c r="AG7" s="141" t="s">
        <v>1729</v>
      </c>
      <c r="AH7" s="141" t="s">
        <v>1729</v>
      </c>
      <c r="AI7" s="141" t="s">
        <v>1729</v>
      </c>
      <c r="AJ7" s="143">
        <v>28</v>
      </c>
    </row>
    <row r="8" spans="1:36" x14ac:dyDescent="0.25">
      <c r="A8" s="144">
        <v>4</v>
      </c>
      <c r="B8" s="142" t="s">
        <v>1740</v>
      </c>
      <c r="C8" s="142" t="s">
        <v>296</v>
      </c>
      <c r="D8" s="141" t="s">
        <v>1741</v>
      </c>
      <c r="E8" s="155">
        <v>43009</v>
      </c>
      <c r="F8" s="141" t="s">
        <v>1737</v>
      </c>
      <c r="G8" s="141" t="s">
        <v>1742</v>
      </c>
      <c r="H8" s="141" t="s">
        <v>1729</v>
      </c>
      <c r="I8" s="141" t="s">
        <v>1729</v>
      </c>
      <c r="J8" s="141" t="s">
        <v>1729</v>
      </c>
      <c r="K8" s="149" t="s">
        <v>1730</v>
      </c>
      <c r="L8" s="141" t="s">
        <v>1729</v>
      </c>
      <c r="M8" s="141" t="s">
        <v>1729</v>
      </c>
      <c r="N8" s="141" t="s">
        <v>1729</v>
      </c>
      <c r="O8" s="141" t="s">
        <v>1729</v>
      </c>
      <c r="P8" s="141" t="s">
        <v>1729</v>
      </c>
      <c r="Q8" s="141" t="s">
        <v>1729</v>
      </c>
      <c r="R8" s="149" t="s">
        <v>1730</v>
      </c>
      <c r="S8" s="141" t="s">
        <v>1729</v>
      </c>
      <c r="T8" s="141" t="s">
        <v>1729</v>
      </c>
      <c r="U8" s="141" t="s">
        <v>1729</v>
      </c>
      <c r="V8" s="141" t="s">
        <v>1729</v>
      </c>
      <c r="W8" s="141" t="s">
        <v>1729</v>
      </c>
      <c r="X8" s="141" t="s">
        <v>1729</v>
      </c>
      <c r="Y8" s="149" t="s">
        <v>1730</v>
      </c>
      <c r="Z8" s="141" t="s">
        <v>1729</v>
      </c>
      <c r="AA8" s="141" t="s">
        <v>1729</v>
      </c>
      <c r="AB8" s="141" t="s">
        <v>1729</v>
      </c>
      <c r="AC8" s="141" t="s">
        <v>1729</v>
      </c>
      <c r="AD8" s="141" t="s">
        <v>1729</v>
      </c>
      <c r="AE8" s="141" t="s">
        <v>1729</v>
      </c>
      <c r="AF8" s="149" t="s">
        <v>1730</v>
      </c>
      <c r="AG8" s="141" t="s">
        <v>1729</v>
      </c>
      <c r="AH8" s="141" t="s">
        <v>1729</v>
      </c>
      <c r="AI8" s="141" t="s">
        <v>1729</v>
      </c>
      <c r="AJ8" s="143">
        <v>28</v>
      </c>
    </row>
    <row r="9" spans="1:36" x14ac:dyDescent="0.25">
      <c r="A9" s="144">
        <v>5</v>
      </c>
      <c r="B9" s="142" t="s">
        <v>1743</v>
      </c>
      <c r="C9" s="142" t="s">
        <v>229</v>
      </c>
      <c r="D9" s="141" t="s">
        <v>1744</v>
      </c>
      <c r="E9" s="155">
        <v>43009</v>
      </c>
      <c r="F9" s="141" t="s">
        <v>1737</v>
      </c>
      <c r="G9" s="141" t="s">
        <v>1733</v>
      </c>
      <c r="H9" s="141" t="s">
        <v>1729</v>
      </c>
      <c r="I9" s="141" t="s">
        <v>1729</v>
      </c>
      <c r="J9" s="141" t="s">
        <v>1729</v>
      </c>
      <c r="K9" s="149" t="s">
        <v>1730</v>
      </c>
      <c r="L9" s="141" t="s">
        <v>1729</v>
      </c>
      <c r="M9" s="141" t="s">
        <v>1729</v>
      </c>
      <c r="N9" s="141" t="s">
        <v>1729</v>
      </c>
      <c r="O9" s="141" t="s">
        <v>1729</v>
      </c>
      <c r="P9" s="141" t="s">
        <v>1729</v>
      </c>
      <c r="Q9" s="141" t="s">
        <v>1729</v>
      </c>
      <c r="R9" s="149" t="s">
        <v>1730</v>
      </c>
      <c r="S9" s="141" t="s">
        <v>1729</v>
      </c>
      <c r="T9" s="141" t="s">
        <v>1729</v>
      </c>
      <c r="U9" s="141" t="s">
        <v>1729</v>
      </c>
      <c r="V9" s="141" t="s">
        <v>1729</v>
      </c>
      <c r="W9" s="141" t="s">
        <v>1729</v>
      </c>
      <c r="X9" s="141" t="s">
        <v>1729</v>
      </c>
      <c r="Y9" s="149" t="s">
        <v>1730</v>
      </c>
      <c r="Z9" s="141" t="s">
        <v>1729</v>
      </c>
      <c r="AA9" s="141" t="s">
        <v>1729</v>
      </c>
      <c r="AB9" s="141" t="s">
        <v>1729</v>
      </c>
      <c r="AC9" s="141" t="s">
        <v>1734</v>
      </c>
      <c r="AD9" s="141" t="s">
        <v>1734</v>
      </c>
      <c r="AE9" s="141" t="s">
        <v>1734</v>
      </c>
      <c r="AF9" s="149" t="s">
        <v>1730</v>
      </c>
      <c r="AG9" s="141" t="s">
        <v>1729</v>
      </c>
      <c r="AH9" s="141" t="s">
        <v>1729</v>
      </c>
      <c r="AI9" s="141" t="s">
        <v>1729</v>
      </c>
      <c r="AJ9" s="143">
        <v>25</v>
      </c>
    </row>
    <row r="10" spans="1:36" x14ac:dyDescent="0.25">
      <c r="A10" s="144">
        <v>6</v>
      </c>
      <c r="B10" s="142" t="s">
        <v>1745</v>
      </c>
      <c r="C10" s="142" t="s">
        <v>297</v>
      </c>
      <c r="D10" s="141" t="s">
        <v>1746</v>
      </c>
      <c r="E10" s="155">
        <v>43009</v>
      </c>
      <c r="F10" s="141" t="s">
        <v>1737</v>
      </c>
      <c r="G10" s="141" t="s">
        <v>1733</v>
      </c>
      <c r="H10" s="141" t="s">
        <v>1729</v>
      </c>
      <c r="I10" s="141" t="s">
        <v>1729</v>
      </c>
      <c r="J10" s="141" t="s">
        <v>1729</v>
      </c>
      <c r="K10" s="149" t="s">
        <v>1730</v>
      </c>
      <c r="L10" s="141" t="s">
        <v>1729</v>
      </c>
      <c r="M10" s="141" t="s">
        <v>1729</v>
      </c>
      <c r="N10" s="141" t="s">
        <v>1729</v>
      </c>
      <c r="O10" s="141" t="s">
        <v>1729</v>
      </c>
      <c r="P10" s="141" t="s">
        <v>1729</v>
      </c>
      <c r="Q10" s="141" t="s">
        <v>1729</v>
      </c>
      <c r="R10" s="149" t="s">
        <v>1730</v>
      </c>
      <c r="S10" s="141" t="s">
        <v>1729</v>
      </c>
      <c r="T10" s="141" t="s">
        <v>1729</v>
      </c>
      <c r="U10" s="141" t="s">
        <v>1729</v>
      </c>
      <c r="V10" s="141" t="s">
        <v>1729</v>
      </c>
      <c r="W10" s="141" t="s">
        <v>1729</v>
      </c>
      <c r="X10" s="141" t="s">
        <v>1729</v>
      </c>
      <c r="Y10" s="149" t="s">
        <v>1730</v>
      </c>
      <c r="Z10" s="141" t="s">
        <v>1729</v>
      </c>
      <c r="AA10" s="141" t="s">
        <v>1729</v>
      </c>
      <c r="AB10" s="141" t="s">
        <v>1729</v>
      </c>
      <c r="AC10" s="141" t="s">
        <v>1729</v>
      </c>
      <c r="AD10" s="141" t="s">
        <v>1729</v>
      </c>
      <c r="AE10" s="141" t="s">
        <v>1729</v>
      </c>
      <c r="AF10" s="149" t="s">
        <v>1730</v>
      </c>
      <c r="AG10" s="141" t="s">
        <v>1729</v>
      </c>
      <c r="AH10" s="141" t="s">
        <v>1729</v>
      </c>
      <c r="AI10" s="141" t="s">
        <v>1729</v>
      </c>
      <c r="AJ10" s="143">
        <v>28</v>
      </c>
    </row>
    <row r="11" spans="1:36" x14ac:dyDescent="0.25">
      <c r="A11" s="144">
        <v>7</v>
      </c>
      <c r="B11" s="142" t="s">
        <v>1747</v>
      </c>
      <c r="C11" s="142" t="s">
        <v>302</v>
      </c>
      <c r="D11" s="141" t="s">
        <v>1748</v>
      </c>
      <c r="E11" s="155">
        <v>43009</v>
      </c>
      <c r="F11" s="141" t="s">
        <v>1737</v>
      </c>
      <c r="G11" s="141" t="s">
        <v>1733</v>
      </c>
      <c r="H11" s="141" t="s">
        <v>1729</v>
      </c>
      <c r="I11" s="141" t="s">
        <v>1729</v>
      </c>
      <c r="J11" s="141" t="s">
        <v>1729</v>
      </c>
      <c r="K11" s="149" t="s">
        <v>1730</v>
      </c>
      <c r="L11" s="141" t="s">
        <v>1729</v>
      </c>
      <c r="M11" s="141" t="s">
        <v>1729</v>
      </c>
      <c r="N11" s="141" t="s">
        <v>1729</v>
      </c>
      <c r="O11" s="141" t="s">
        <v>1729</v>
      </c>
      <c r="P11" s="141" t="s">
        <v>1729</v>
      </c>
      <c r="Q11" s="141" t="s">
        <v>1729</v>
      </c>
      <c r="R11" s="149" t="s">
        <v>1730</v>
      </c>
      <c r="S11" s="141" t="s">
        <v>1729</v>
      </c>
      <c r="T11" s="141" t="s">
        <v>1729</v>
      </c>
      <c r="U11" s="141" t="s">
        <v>1729</v>
      </c>
      <c r="V11" s="141" t="s">
        <v>1734</v>
      </c>
      <c r="W11" s="141" t="s">
        <v>1734</v>
      </c>
      <c r="X11" s="141" t="s">
        <v>1734</v>
      </c>
      <c r="Y11" s="149" t="s">
        <v>1734</v>
      </c>
      <c r="Z11" s="141" t="s">
        <v>1734</v>
      </c>
      <c r="AA11" s="141" t="s">
        <v>1734</v>
      </c>
      <c r="AB11" s="141" t="s">
        <v>1734</v>
      </c>
      <c r="AC11" s="141" t="s">
        <v>1734</v>
      </c>
      <c r="AD11" s="141" t="s">
        <v>1734</v>
      </c>
      <c r="AE11" s="141" t="s">
        <v>1734</v>
      </c>
      <c r="AF11" s="149" t="s">
        <v>1734</v>
      </c>
      <c r="AG11" s="141" t="s">
        <v>1734</v>
      </c>
      <c r="AH11" s="141" t="s">
        <v>1734</v>
      </c>
      <c r="AI11" s="141" t="s">
        <v>1734</v>
      </c>
      <c r="AJ11" s="143">
        <v>14</v>
      </c>
    </row>
    <row r="12" spans="1:36" x14ac:dyDescent="0.25">
      <c r="A12" s="144">
        <v>8</v>
      </c>
      <c r="B12" s="142" t="s">
        <v>1749</v>
      </c>
      <c r="C12" s="142" t="s">
        <v>1094</v>
      </c>
      <c r="D12" s="141" t="s">
        <v>1750</v>
      </c>
      <c r="E12" s="155">
        <v>43009</v>
      </c>
      <c r="F12" s="141" t="s">
        <v>1737</v>
      </c>
      <c r="G12" s="141" t="s">
        <v>1733</v>
      </c>
      <c r="H12" s="141" t="s">
        <v>1734</v>
      </c>
      <c r="I12" s="141" t="s">
        <v>1734</v>
      </c>
      <c r="J12" s="141" t="s">
        <v>1734</v>
      </c>
      <c r="K12" s="149" t="s">
        <v>1734</v>
      </c>
      <c r="L12" s="141" t="s">
        <v>1734</v>
      </c>
      <c r="M12" s="141" t="s">
        <v>1734</v>
      </c>
      <c r="N12" s="141" t="s">
        <v>1734</v>
      </c>
      <c r="O12" s="141" t="s">
        <v>1734</v>
      </c>
      <c r="P12" s="141" t="s">
        <v>1734</v>
      </c>
      <c r="Q12" s="141" t="s">
        <v>1734</v>
      </c>
      <c r="R12" s="149" t="s">
        <v>1734</v>
      </c>
      <c r="S12" s="141" t="s">
        <v>1734</v>
      </c>
      <c r="T12" s="141" t="s">
        <v>1734</v>
      </c>
      <c r="U12" s="141" t="s">
        <v>1734</v>
      </c>
      <c r="V12" s="141" t="s">
        <v>1734</v>
      </c>
      <c r="W12" s="141" t="s">
        <v>1734</v>
      </c>
      <c r="X12" s="141" t="s">
        <v>1734</v>
      </c>
      <c r="Y12" s="149" t="s">
        <v>1734</v>
      </c>
      <c r="Z12" s="141" t="s">
        <v>1734</v>
      </c>
      <c r="AA12" s="141" t="s">
        <v>1734</v>
      </c>
      <c r="AB12" s="141" t="s">
        <v>1734</v>
      </c>
      <c r="AC12" s="141" t="s">
        <v>1734</v>
      </c>
      <c r="AD12" s="141" t="s">
        <v>1734</v>
      </c>
      <c r="AE12" s="141" t="s">
        <v>1734</v>
      </c>
      <c r="AF12" s="149" t="s">
        <v>1730</v>
      </c>
      <c r="AG12" s="141" t="s">
        <v>1729</v>
      </c>
      <c r="AH12" s="141" t="s">
        <v>1729</v>
      </c>
      <c r="AI12" s="141" t="s">
        <v>1729</v>
      </c>
      <c r="AJ12" s="143">
        <v>4</v>
      </c>
    </row>
    <row r="13" spans="1:36" x14ac:dyDescent="0.25">
      <c r="A13" s="144">
        <v>9</v>
      </c>
      <c r="B13" s="142" t="s">
        <v>1751</v>
      </c>
      <c r="C13" s="142" t="s">
        <v>1096</v>
      </c>
      <c r="D13" s="141" t="s">
        <v>1752</v>
      </c>
      <c r="E13" s="155">
        <v>43009</v>
      </c>
      <c r="F13" s="141" t="s">
        <v>1737</v>
      </c>
      <c r="G13" s="141" t="s">
        <v>1733</v>
      </c>
      <c r="H13" s="141" t="s">
        <v>1729</v>
      </c>
      <c r="I13" s="141" t="s">
        <v>1729</v>
      </c>
      <c r="J13" s="141" t="s">
        <v>1729</v>
      </c>
      <c r="K13" s="149" t="s">
        <v>1730</v>
      </c>
      <c r="L13" s="141" t="s">
        <v>1729</v>
      </c>
      <c r="M13" s="141" t="s">
        <v>1729</v>
      </c>
      <c r="N13" s="141" t="s">
        <v>1729</v>
      </c>
      <c r="O13" s="141" t="s">
        <v>1729</v>
      </c>
      <c r="P13" s="141" t="s">
        <v>1729</v>
      </c>
      <c r="Q13" s="141" t="s">
        <v>1729</v>
      </c>
      <c r="R13" s="149" t="s">
        <v>1730</v>
      </c>
      <c r="S13" s="141" t="s">
        <v>1729</v>
      </c>
      <c r="T13" s="141" t="s">
        <v>1729</v>
      </c>
      <c r="U13" s="141" t="s">
        <v>1729</v>
      </c>
      <c r="V13" s="141" t="s">
        <v>1729</v>
      </c>
      <c r="W13" s="141" t="s">
        <v>1729</v>
      </c>
      <c r="X13" s="141" t="s">
        <v>1729</v>
      </c>
      <c r="Y13" s="149" t="s">
        <v>1730</v>
      </c>
      <c r="Z13" s="141" t="s">
        <v>1729</v>
      </c>
      <c r="AA13" s="141" t="s">
        <v>1734</v>
      </c>
      <c r="AB13" s="141" t="s">
        <v>1734</v>
      </c>
      <c r="AC13" s="141" t="s">
        <v>1734</v>
      </c>
      <c r="AD13" s="141" t="s">
        <v>1734</v>
      </c>
      <c r="AE13" s="141" t="s">
        <v>1734</v>
      </c>
      <c r="AF13" s="149" t="s">
        <v>1734</v>
      </c>
      <c r="AG13" s="141" t="s">
        <v>1729</v>
      </c>
      <c r="AH13" s="141" t="s">
        <v>1729</v>
      </c>
      <c r="AI13" s="141" t="s">
        <v>1729</v>
      </c>
      <c r="AJ13" s="143">
        <v>22</v>
      </c>
    </row>
    <row r="14" spans="1:36" x14ac:dyDescent="0.25">
      <c r="A14" s="144">
        <v>10</v>
      </c>
      <c r="B14" s="142" t="s">
        <v>1753</v>
      </c>
      <c r="C14" s="142" t="s">
        <v>1095</v>
      </c>
      <c r="D14" s="141" t="s">
        <v>1754</v>
      </c>
      <c r="E14" s="155">
        <v>43009</v>
      </c>
      <c r="F14" s="141" t="s">
        <v>1737</v>
      </c>
      <c r="G14" s="141" t="s">
        <v>1733</v>
      </c>
      <c r="H14" s="141" t="s">
        <v>1729</v>
      </c>
      <c r="I14" s="141" t="s">
        <v>1729</v>
      </c>
      <c r="J14" s="141" t="s">
        <v>1729</v>
      </c>
      <c r="K14" s="149" t="s">
        <v>1730</v>
      </c>
      <c r="L14" s="141" t="s">
        <v>1729</v>
      </c>
      <c r="M14" s="141" t="s">
        <v>1729</v>
      </c>
      <c r="N14" s="141" t="s">
        <v>1729</v>
      </c>
      <c r="O14" s="141" t="s">
        <v>1729</v>
      </c>
      <c r="P14" s="141" t="s">
        <v>1729</v>
      </c>
      <c r="Q14" s="141" t="s">
        <v>1729</v>
      </c>
      <c r="R14" s="149" t="s">
        <v>1730</v>
      </c>
      <c r="S14" s="141" t="s">
        <v>1729</v>
      </c>
      <c r="T14" s="141" t="s">
        <v>1729</v>
      </c>
      <c r="U14" s="141" t="s">
        <v>1729</v>
      </c>
      <c r="V14" s="141" t="s">
        <v>1729</v>
      </c>
      <c r="W14" s="141" t="s">
        <v>1729</v>
      </c>
      <c r="X14" s="141" t="s">
        <v>1734</v>
      </c>
      <c r="Y14" s="149" t="s">
        <v>1734</v>
      </c>
      <c r="Z14" s="141" t="s">
        <v>1734</v>
      </c>
      <c r="AA14" s="141" t="s">
        <v>1734</v>
      </c>
      <c r="AB14" s="141" t="s">
        <v>1734</v>
      </c>
      <c r="AC14" s="141" t="s">
        <v>1734</v>
      </c>
      <c r="AD14" s="141" t="s">
        <v>1734</v>
      </c>
      <c r="AE14" s="141" t="s">
        <v>1734</v>
      </c>
      <c r="AF14" s="149" t="s">
        <v>1734</v>
      </c>
      <c r="AG14" s="141" t="s">
        <v>1734</v>
      </c>
      <c r="AH14" s="141" t="s">
        <v>1734</v>
      </c>
      <c r="AI14" s="141" t="s">
        <v>1734</v>
      </c>
      <c r="AJ14" s="143">
        <v>16</v>
      </c>
    </row>
    <row r="15" spans="1:36" x14ac:dyDescent="0.25">
      <c r="A15" s="144">
        <v>11</v>
      </c>
      <c r="B15" s="142" t="s">
        <v>1755</v>
      </c>
      <c r="C15" s="142" t="s">
        <v>1299</v>
      </c>
      <c r="D15" s="141" t="s">
        <v>1756</v>
      </c>
      <c r="E15" s="155">
        <v>43009</v>
      </c>
      <c r="F15" s="141" t="s">
        <v>1737</v>
      </c>
      <c r="G15" s="141" t="s">
        <v>1742</v>
      </c>
      <c r="H15" s="141" t="s">
        <v>1734</v>
      </c>
      <c r="I15" s="141" t="s">
        <v>1729</v>
      </c>
      <c r="J15" s="141" t="s">
        <v>1729</v>
      </c>
      <c r="K15" s="149" t="s">
        <v>1730</v>
      </c>
      <c r="L15" s="141" t="s">
        <v>1729</v>
      </c>
      <c r="M15" s="141" t="s">
        <v>1729</v>
      </c>
      <c r="N15" s="141" t="s">
        <v>1729</v>
      </c>
      <c r="O15" s="141" t="s">
        <v>1729</v>
      </c>
      <c r="P15" s="141" t="s">
        <v>1729</v>
      </c>
      <c r="Q15" s="141" t="s">
        <v>1729</v>
      </c>
      <c r="R15" s="149" t="s">
        <v>1730</v>
      </c>
      <c r="S15" s="141" t="s">
        <v>1729</v>
      </c>
      <c r="T15" s="141" t="s">
        <v>1729</v>
      </c>
      <c r="U15" s="141" t="s">
        <v>1729</v>
      </c>
      <c r="V15" s="141" t="s">
        <v>1729</v>
      </c>
      <c r="W15" s="141" t="s">
        <v>1729</v>
      </c>
      <c r="X15" s="141" t="s">
        <v>1729</v>
      </c>
      <c r="Y15" s="149" t="s">
        <v>1730</v>
      </c>
      <c r="Z15" s="141" t="s">
        <v>1729</v>
      </c>
      <c r="AA15" s="141" t="s">
        <v>1729</v>
      </c>
      <c r="AB15" s="141" t="s">
        <v>1729</v>
      </c>
      <c r="AC15" s="141" t="s">
        <v>1729</v>
      </c>
      <c r="AD15" s="141" t="s">
        <v>1729</v>
      </c>
      <c r="AE15" s="141" t="s">
        <v>1729</v>
      </c>
      <c r="AF15" s="149" t="s">
        <v>1730</v>
      </c>
      <c r="AG15" s="141" t="s">
        <v>1729</v>
      </c>
      <c r="AH15" s="141" t="s">
        <v>1729</v>
      </c>
      <c r="AI15" s="141" t="s">
        <v>1729</v>
      </c>
      <c r="AJ15" s="143">
        <v>27</v>
      </c>
    </row>
    <row r="16" spans="1:36" x14ac:dyDescent="0.25">
      <c r="A16" s="144">
        <v>12</v>
      </c>
      <c r="B16" s="142" t="s">
        <v>1757</v>
      </c>
      <c r="C16" s="142" t="s">
        <v>1168</v>
      </c>
      <c r="D16" s="141" t="s">
        <v>1758</v>
      </c>
      <c r="E16" s="155">
        <v>43009</v>
      </c>
      <c r="F16" s="141" t="s">
        <v>1451</v>
      </c>
      <c r="G16" s="141" t="s">
        <v>1733</v>
      </c>
      <c r="H16" s="141" t="s">
        <v>1729</v>
      </c>
      <c r="I16" s="141" t="s">
        <v>1729</v>
      </c>
      <c r="J16" s="141" t="s">
        <v>1729</v>
      </c>
      <c r="K16" s="149" t="s">
        <v>1730</v>
      </c>
      <c r="L16" s="141" t="s">
        <v>1729</v>
      </c>
      <c r="M16" s="141" t="s">
        <v>1729</v>
      </c>
      <c r="N16" s="141" t="s">
        <v>1729</v>
      </c>
      <c r="O16" s="141" t="s">
        <v>1729</v>
      </c>
      <c r="P16" s="141" t="s">
        <v>1729</v>
      </c>
      <c r="Q16" s="141" t="s">
        <v>1729</v>
      </c>
      <c r="R16" s="151" t="s">
        <v>1730</v>
      </c>
      <c r="S16" s="141" t="s">
        <v>1734</v>
      </c>
      <c r="T16" s="141" t="s">
        <v>1734</v>
      </c>
      <c r="U16" s="141" t="s">
        <v>1734</v>
      </c>
      <c r="V16" s="141" t="s">
        <v>1734</v>
      </c>
      <c r="W16" s="141" t="s">
        <v>1734</v>
      </c>
      <c r="X16" s="141" t="s">
        <v>1734</v>
      </c>
      <c r="Y16" s="149" t="s">
        <v>1734</v>
      </c>
      <c r="Z16" s="141" t="s">
        <v>1734</v>
      </c>
      <c r="AA16" s="141" t="s">
        <v>1734</v>
      </c>
      <c r="AB16" s="141" t="s">
        <v>1734</v>
      </c>
      <c r="AC16" s="141" t="s">
        <v>1734</v>
      </c>
      <c r="AD16" s="141" t="s">
        <v>1734</v>
      </c>
      <c r="AE16" s="141" t="s">
        <v>1734</v>
      </c>
      <c r="AF16" s="149" t="s">
        <v>1734</v>
      </c>
      <c r="AG16" s="141" t="s">
        <v>1734</v>
      </c>
      <c r="AH16" s="141" t="s">
        <v>1734</v>
      </c>
      <c r="AI16" s="141" t="s">
        <v>1734</v>
      </c>
      <c r="AJ16" s="143">
        <v>11</v>
      </c>
    </row>
    <row r="17" spans="1:36" x14ac:dyDescent="0.25">
      <c r="A17" s="144">
        <v>13</v>
      </c>
      <c r="B17" s="142" t="s">
        <v>1759</v>
      </c>
      <c r="C17" s="142" t="s">
        <v>1298</v>
      </c>
      <c r="D17" s="141" t="s">
        <v>1760</v>
      </c>
      <c r="E17" s="155">
        <v>43009</v>
      </c>
      <c r="F17" s="141" t="s">
        <v>1737</v>
      </c>
      <c r="G17" s="141" t="s">
        <v>1733</v>
      </c>
      <c r="H17" s="141" t="s">
        <v>1729</v>
      </c>
      <c r="I17" s="141" t="s">
        <v>1729</v>
      </c>
      <c r="J17" s="141" t="s">
        <v>1729</v>
      </c>
      <c r="K17" s="149" t="s">
        <v>1730</v>
      </c>
      <c r="L17" s="141" t="s">
        <v>1729</v>
      </c>
      <c r="M17" s="141" t="s">
        <v>1729</v>
      </c>
      <c r="N17" s="141" t="s">
        <v>1729</v>
      </c>
      <c r="O17" s="141" t="s">
        <v>1729</v>
      </c>
      <c r="P17" s="141" t="s">
        <v>1729</v>
      </c>
      <c r="Q17" s="141" t="s">
        <v>1729</v>
      </c>
      <c r="R17" s="149" t="s">
        <v>1730</v>
      </c>
      <c r="S17" s="141" t="s">
        <v>1729</v>
      </c>
      <c r="T17" s="141" t="s">
        <v>1729</v>
      </c>
      <c r="U17" s="141" t="s">
        <v>1729</v>
      </c>
      <c r="V17" s="141" t="s">
        <v>1734</v>
      </c>
      <c r="W17" s="141" t="s">
        <v>1734</v>
      </c>
      <c r="X17" s="141" t="s">
        <v>1734</v>
      </c>
      <c r="Y17" s="149" t="s">
        <v>1734</v>
      </c>
      <c r="Z17" s="141" t="s">
        <v>1734</v>
      </c>
      <c r="AA17" s="141" t="s">
        <v>1734</v>
      </c>
      <c r="AB17" s="141" t="s">
        <v>1734</v>
      </c>
      <c r="AC17" s="141" t="s">
        <v>1734</v>
      </c>
      <c r="AD17" s="141" t="s">
        <v>1734</v>
      </c>
      <c r="AE17" s="141" t="s">
        <v>1734</v>
      </c>
      <c r="AF17" s="149" t="s">
        <v>1734</v>
      </c>
      <c r="AG17" s="141" t="s">
        <v>1734</v>
      </c>
      <c r="AH17" s="141" t="s">
        <v>1734</v>
      </c>
      <c r="AI17" s="141" t="s">
        <v>1734</v>
      </c>
      <c r="AJ17" s="143">
        <v>14</v>
      </c>
    </row>
    <row r="18" spans="1:36" x14ac:dyDescent="0.25">
      <c r="A18" s="144">
        <v>14</v>
      </c>
      <c r="B18" s="141" t="s">
        <v>1761</v>
      </c>
      <c r="C18" s="74" t="s">
        <v>37</v>
      </c>
      <c r="D18" s="141" t="s">
        <v>1762</v>
      </c>
      <c r="E18" s="155">
        <v>43009</v>
      </c>
      <c r="F18" s="141" t="s">
        <v>1761</v>
      </c>
      <c r="G18" s="141" t="s">
        <v>1733</v>
      </c>
      <c r="H18" s="141" t="s">
        <v>1729</v>
      </c>
      <c r="I18" s="141" t="s">
        <v>1729</v>
      </c>
      <c r="J18" s="141" t="s">
        <v>1729</v>
      </c>
      <c r="K18" s="149" t="s">
        <v>1730</v>
      </c>
      <c r="L18" s="141" t="s">
        <v>1729</v>
      </c>
      <c r="M18" s="141" t="s">
        <v>1729</v>
      </c>
      <c r="N18" s="141" t="s">
        <v>1729</v>
      </c>
      <c r="O18" s="141" t="s">
        <v>1729</v>
      </c>
      <c r="P18" s="141" t="s">
        <v>1729</v>
      </c>
      <c r="Q18" s="141" t="s">
        <v>1729</v>
      </c>
      <c r="R18" s="149" t="s">
        <v>1730</v>
      </c>
      <c r="S18" s="141" t="s">
        <v>1729</v>
      </c>
      <c r="T18" s="141" t="s">
        <v>1729</v>
      </c>
      <c r="U18" s="141" t="s">
        <v>1729</v>
      </c>
      <c r="V18" s="141" t="s">
        <v>1729</v>
      </c>
      <c r="W18" s="141" t="s">
        <v>1729</v>
      </c>
      <c r="X18" s="141" t="s">
        <v>1729</v>
      </c>
      <c r="Y18" s="149" t="s">
        <v>1730</v>
      </c>
      <c r="Z18" s="141" t="s">
        <v>1729</v>
      </c>
      <c r="AA18" s="141" t="s">
        <v>1729</v>
      </c>
      <c r="AB18" s="141" t="s">
        <v>1729</v>
      </c>
      <c r="AC18" s="141" t="s">
        <v>1729</v>
      </c>
      <c r="AD18" s="141" t="s">
        <v>1729</v>
      </c>
      <c r="AE18" s="141" t="s">
        <v>1729</v>
      </c>
      <c r="AF18" s="149" t="s">
        <v>1730</v>
      </c>
      <c r="AG18" s="141" t="s">
        <v>1729</v>
      </c>
      <c r="AH18" s="141" t="s">
        <v>1729</v>
      </c>
      <c r="AI18" s="141" t="s">
        <v>1729</v>
      </c>
      <c r="AJ18" s="143">
        <v>28</v>
      </c>
    </row>
    <row r="19" spans="1:36" x14ac:dyDescent="0.25">
      <c r="A19" s="144">
        <v>15</v>
      </c>
      <c r="B19" s="141" t="s">
        <v>1761</v>
      </c>
      <c r="C19" s="142" t="s">
        <v>1580</v>
      </c>
      <c r="D19" s="141" t="s">
        <v>1763</v>
      </c>
      <c r="E19" s="155">
        <v>43085</v>
      </c>
      <c r="F19" s="141" t="s">
        <v>1761</v>
      </c>
      <c r="G19" s="141" t="s">
        <v>1733</v>
      </c>
      <c r="H19" s="141" t="s">
        <v>1729</v>
      </c>
      <c r="I19" s="141" t="s">
        <v>1729</v>
      </c>
      <c r="J19" s="141" t="s">
        <v>1729</v>
      </c>
      <c r="K19" s="149" t="s">
        <v>1730</v>
      </c>
      <c r="L19" s="141" t="s">
        <v>1729</v>
      </c>
      <c r="M19" s="141" t="s">
        <v>1729</v>
      </c>
      <c r="N19" s="141" t="s">
        <v>1729</v>
      </c>
      <c r="O19" s="141" t="s">
        <v>1729</v>
      </c>
      <c r="P19" s="141" t="s">
        <v>1729</v>
      </c>
      <c r="Q19" s="141" t="s">
        <v>1729</v>
      </c>
      <c r="R19" s="149" t="s">
        <v>1730</v>
      </c>
      <c r="S19" s="141" t="s">
        <v>1729</v>
      </c>
      <c r="T19" s="141" t="s">
        <v>1729</v>
      </c>
      <c r="U19" s="141" t="s">
        <v>1729</v>
      </c>
      <c r="V19" s="141" t="s">
        <v>1729</v>
      </c>
      <c r="W19" s="141" t="s">
        <v>1729</v>
      </c>
      <c r="X19" s="141" t="s">
        <v>1729</v>
      </c>
      <c r="Y19" s="149" t="s">
        <v>1730</v>
      </c>
      <c r="Z19" s="141" t="s">
        <v>1729</v>
      </c>
      <c r="AA19" s="141" t="s">
        <v>1729</v>
      </c>
      <c r="AB19" s="141" t="s">
        <v>1729</v>
      </c>
      <c r="AC19" s="141" t="s">
        <v>1729</v>
      </c>
      <c r="AD19" s="141" t="s">
        <v>1729</v>
      </c>
      <c r="AE19" s="141" t="s">
        <v>1729</v>
      </c>
      <c r="AF19" s="149" t="s">
        <v>1730</v>
      </c>
      <c r="AG19" s="141" t="s">
        <v>1729</v>
      </c>
      <c r="AH19" s="141" t="s">
        <v>1729</v>
      </c>
      <c r="AI19" s="141" t="s">
        <v>1729</v>
      </c>
      <c r="AJ19" s="143">
        <v>28</v>
      </c>
    </row>
    <row r="20" spans="1:36" x14ac:dyDescent="0.25">
      <c r="A20" s="144">
        <v>16</v>
      </c>
      <c r="B20" s="142" t="s">
        <v>1764</v>
      </c>
      <c r="C20" s="142" t="s">
        <v>79</v>
      </c>
      <c r="D20" s="141" t="s">
        <v>1765</v>
      </c>
      <c r="E20" s="155">
        <v>43009</v>
      </c>
      <c r="F20" s="141" t="s">
        <v>1737</v>
      </c>
      <c r="G20" s="141" t="s">
        <v>1733</v>
      </c>
      <c r="H20" s="141" t="s">
        <v>1729</v>
      </c>
      <c r="I20" s="141" t="s">
        <v>1729</v>
      </c>
      <c r="J20" s="141" t="s">
        <v>1729</v>
      </c>
      <c r="K20" s="149" t="s">
        <v>1730</v>
      </c>
      <c r="L20" s="141" t="s">
        <v>1729</v>
      </c>
      <c r="M20" s="141" t="s">
        <v>1729</v>
      </c>
      <c r="N20" s="141" t="s">
        <v>1729</v>
      </c>
      <c r="O20" s="141" t="s">
        <v>1729</v>
      </c>
      <c r="P20" s="141" t="s">
        <v>1729</v>
      </c>
      <c r="Q20" s="141" t="s">
        <v>1729</v>
      </c>
      <c r="R20" s="149" t="s">
        <v>1730</v>
      </c>
      <c r="S20" s="141" t="s">
        <v>1729</v>
      </c>
      <c r="T20" s="141" t="s">
        <v>1729</v>
      </c>
      <c r="U20" s="141" t="s">
        <v>1729</v>
      </c>
      <c r="V20" s="141" t="s">
        <v>1729</v>
      </c>
      <c r="W20" s="141" t="s">
        <v>1729</v>
      </c>
      <c r="X20" s="141" t="s">
        <v>1729</v>
      </c>
      <c r="Y20" s="149" t="s">
        <v>1730</v>
      </c>
      <c r="Z20" s="141" t="s">
        <v>1729</v>
      </c>
      <c r="AA20" s="141" t="s">
        <v>1729</v>
      </c>
      <c r="AB20" s="141" t="s">
        <v>1729</v>
      </c>
      <c r="AC20" s="141" t="s">
        <v>1729</v>
      </c>
      <c r="AD20" s="141" t="s">
        <v>1729</v>
      </c>
      <c r="AE20" s="141" t="s">
        <v>1729</v>
      </c>
      <c r="AF20" s="149" t="s">
        <v>1730</v>
      </c>
      <c r="AG20" s="141" t="s">
        <v>1729</v>
      </c>
      <c r="AH20" s="141" t="s">
        <v>1729</v>
      </c>
      <c r="AI20" s="141" t="s">
        <v>1729</v>
      </c>
      <c r="AJ20" s="143">
        <v>28</v>
      </c>
    </row>
    <row r="21" spans="1:36" x14ac:dyDescent="0.25">
      <c r="A21" s="144">
        <v>17</v>
      </c>
      <c r="B21" s="142" t="s">
        <v>1766</v>
      </c>
      <c r="C21" s="142" t="s">
        <v>1583</v>
      </c>
      <c r="D21" s="141" t="s">
        <v>1767</v>
      </c>
      <c r="E21" s="155">
        <v>43097</v>
      </c>
      <c r="F21" s="141" t="s">
        <v>1452</v>
      </c>
      <c r="G21" s="141" t="s">
        <v>1733</v>
      </c>
      <c r="H21" s="141" t="s">
        <v>1729</v>
      </c>
      <c r="I21" s="141" t="s">
        <v>1729</v>
      </c>
      <c r="J21" s="141" t="s">
        <v>1729</v>
      </c>
      <c r="K21" s="149" t="s">
        <v>1730</v>
      </c>
      <c r="L21" s="141" t="s">
        <v>1729</v>
      </c>
      <c r="M21" s="141" t="s">
        <v>1729</v>
      </c>
      <c r="N21" s="141" t="s">
        <v>1729</v>
      </c>
      <c r="O21" s="141" t="s">
        <v>1729</v>
      </c>
      <c r="P21" s="141" t="s">
        <v>1729</v>
      </c>
      <c r="Q21" s="141" t="s">
        <v>1729</v>
      </c>
      <c r="R21" s="149" t="s">
        <v>1730</v>
      </c>
      <c r="S21" s="141" t="s">
        <v>1729</v>
      </c>
      <c r="T21" s="141" t="s">
        <v>1729</v>
      </c>
      <c r="U21" s="141" t="s">
        <v>1729</v>
      </c>
      <c r="V21" s="141" t="s">
        <v>1729</v>
      </c>
      <c r="W21" s="141" t="s">
        <v>1729</v>
      </c>
      <c r="X21" s="141" t="s">
        <v>1729</v>
      </c>
      <c r="Y21" s="149" t="s">
        <v>1730</v>
      </c>
      <c r="Z21" s="141" t="s">
        <v>1729</v>
      </c>
      <c r="AA21" s="141" t="s">
        <v>1729</v>
      </c>
      <c r="AB21" s="141" t="s">
        <v>1729</v>
      </c>
      <c r="AC21" s="141" t="s">
        <v>1729</v>
      </c>
      <c r="AD21" s="141" t="s">
        <v>1729</v>
      </c>
      <c r="AE21" s="141" t="s">
        <v>1729</v>
      </c>
      <c r="AF21" s="149" t="s">
        <v>1730</v>
      </c>
      <c r="AG21" s="141" t="s">
        <v>1729</v>
      </c>
      <c r="AH21" s="141" t="s">
        <v>1729</v>
      </c>
      <c r="AI21" s="141" t="s">
        <v>1729</v>
      </c>
      <c r="AJ21" s="143">
        <v>28</v>
      </c>
    </row>
    <row r="22" spans="1:36" x14ac:dyDescent="0.25">
      <c r="A22" s="144">
        <v>18</v>
      </c>
      <c r="B22" s="142" t="s">
        <v>1768</v>
      </c>
      <c r="C22" s="142" t="s">
        <v>1582</v>
      </c>
      <c r="D22" s="141" t="s">
        <v>1769</v>
      </c>
      <c r="E22" s="155">
        <v>43077</v>
      </c>
      <c r="F22" s="141" t="s">
        <v>1737</v>
      </c>
      <c r="G22" s="141" t="s">
        <v>1733</v>
      </c>
      <c r="H22" s="141" t="s">
        <v>1729</v>
      </c>
      <c r="I22" s="141" t="s">
        <v>1729</v>
      </c>
      <c r="J22" s="141" t="s">
        <v>1729</v>
      </c>
      <c r="K22" s="149" t="s">
        <v>1730</v>
      </c>
      <c r="L22" s="141" t="s">
        <v>1729</v>
      </c>
      <c r="M22" s="141" t="s">
        <v>1729</v>
      </c>
      <c r="N22" s="141" t="s">
        <v>1729</v>
      </c>
      <c r="O22" s="141" t="s">
        <v>1729</v>
      </c>
      <c r="P22" s="141" t="s">
        <v>1729</v>
      </c>
      <c r="Q22" s="141" t="s">
        <v>1729</v>
      </c>
      <c r="R22" s="149" t="s">
        <v>1730</v>
      </c>
      <c r="S22" s="141" t="s">
        <v>1729</v>
      </c>
      <c r="T22" s="141" t="s">
        <v>1729</v>
      </c>
      <c r="U22" s="141" t="s">
        <v>1729</v>
      </c>
      <c r="V22" s="141" t="s">
        <v>1729</v>
      </c>
      <c r="W22" s="141" t="s">
        <v>1729</v>
      </c>
      <c r="X22" s="141" t="s">
        <v>1729</v>
      </c>
      <c r="Y22" s="149" t="s">
        <v>1730</v>
      </c>
      <c r="Z22" s="141" t="s">
        <v>1729</v>
      </c>
      <c r="AA22" s="141" t="s">
        <v>1729</v>
      </c>
      <c r="AB22" s="141" t="s">
        <v>1729</v>
      </c>
      <c r="AC22" s="141" t="s">
        <v>1729</v>
      </c>
      <c r="AD22" s="141" t="s">
        <v>1729</v>
      </c>
      <c r="AE22" s="141" t="s">
        <v>1729</v>
      </c>
      <c r="AF22" s="149" t="s">
        <v>1730</v>
      </c>
      <c r="AG22" s="141" t="s">
        <v>1729</v>
      </c>
      <c r="AH22" s="141" t="s">
        <v>1729</v>
      </c>
      <c r="AI22" s="141" t="s">
        <v>1729</v>
      </c>
      <c r="AJ22" s="143">
        <v>28</v>
      </c>
    </row>
    <row r="23" spans="1:36" x14ac:dyDescent="0.25">
      <c r="A23" s="144">
        <v>19</v>
      </c>
      <c r="B23" s="142" t="s">
        <v>1770</v>
      </c>
      <c r="C23" s="142" t="s">
        <v>1719</v>
      </c>
      <c r="D23" s="141" t="s">
        <v>1771</v>
      </c>
      <c r="E23" s="155">
        <v>43129</v>
      </c>
      <c r="F23" s="141" t="s">
        <v>1737</v>
      </c>
      <c r="G23" s="141" t="s">
        <v>1742</v>
      </c>
      <c r="H23" s="141" t="s">
        <v>1729</v>
      </c>
      <c r="I23" s="141" t="s">
        <v>1729</v>
      </c>
      <c r="J23" s="141" t="s">
        <v>1729</v>
      </c>
      <c r="K23" s="149" t="s">
        <v>1730</v>
      </c>
      <c r="L23" s="141" t="s">
        <v>1729</v>
      </c>
      <c r="M23" s="141" t="s">
        <v>1729</v>
      </c>
      <c r="N23" s="141" t="s">
        <v>1729</v>
      </c>
      <c r="O23" s="141" t="s">
        <v>1734</v>
      </c>
      <c r="P23" s="141" t="s">
        <v>1729</v>
      </c>
      <c r="Q23" s="141" t="s">
        <v>1729</v>
      </c>
      <c r="R23" s="149" t="s">
        <v>1730</v>
      </c>
      <c r="S23" s="141" t="s">
        <v>1729</v>
      </c>
      <c r="T23" s="141" t="s">
        <v>1729</v>
      </c>
      <c r="U23" s="141" t="s">
        <v>1729</v>
      </c>
      <c r="V23" s="141" t="s">
        <v>1729</v>
      </c>
      <c r="W23" s="141" t="s">
        <v>1729</v>
      </c>
      <c r="X23" s="141" t="s">
        <v>1729</v>
      </c>
      <c r="Y23" s="149" t="s">
        <v>1730</v>
      </c>
      <c r="Z23" s="141" t="s">
        <v>1729</v>
      </c>
      <c r="AA23" s="141" t="s">
        <v>1729</v>
      </c>
      <c r="AB23" s="141" t="s">
        <v>1729</v>
      </c>
      <c r="AC23" s="141" t="s">
        <v>1729</v>
      </c>
      <c r="AD23" s="141" t="s">
        <v>1729</v>
      </c>
      <c r="AE23" s="141" t="s">
        <v>1729</v>
      </c>
      <c r="AF23" s="149" t="s">
        <v>1730</v>
      </c>
      <c r="AG23" s="141" t="s">
        <v>1729</v>
      </c>
      <c r="AH23" s="141" t="s">
        <v>1729</v>
      </c>
      <c r="AI23" s="141" t="s">
        <v>1734</v>
      </c>
      <c r="AJ23" s="143">
        <v>26</v>
      </c>
    </row>
    <row r="24" spans="1:36" x14ac:dyDescent="0.25">
      <c r="A24" s="144">
        <v>20</v>
      </c>
      <c r="B24" s="142" t="s">
        <v>1772</v>
      </c>
      <c r="C24" s="142" t="s">
        <v>1715</v>
      </c>
      <c r="D24" s="141" t="s">
        <v>1773</v>
      </c>
      <c r="E24" s="155">
        <v>43141</v>
      </c>
      <c r="F24" s="141" t="s">
        <v>1737</v>
      </c>
      <c r="G24" s="141" t="s">
        <v>1733</v>
      </c>
      <c r="H24" s="141" t="s">
        <v>1734</v>
      </c>
      <c r="I24" s="141" t="s">
        <v>1734</v>
      </c>
      <c r="J24" s="141" t="s">
        <v>1734</v>
      </c>
      <c r="K24" s="149" t="s">
        <v>1734</v>
      </c>
      <c r="L24" s="141" t="s">
        <v>1734</v>
      </c>
      <c r="M24" s="141" t="s">
        <v>1734</v>
      </c>
      <c r="N24" s="141" t="s">
        <v>1734</v>
      </c>
      <c r="O24" s="141" t="s">
        <v>1734</v>
      </c>
      <c r="P24" s="141" t="s">
        <v>1734</v>
      </c>
      <c r="Q24" s="141" t="s">
        <v>1729</v>
      </c>
      <c r="R24" s="149" t="s">
        <v>1730</v>
      </c>
      <c r="S24" s="141" t="s">
        <v>1729</v>
      </c>
      <c r="T24" s="141" t="s">
        <v>1729</v>
      </c>
      <c r="U24" s="141" t="s">
        <v>1729</v>
      </c>
      <c r="V24" s="141" t="s">
        <v>1729</v>
      </c>
      <c r="W24" s="141" t="s">
        <v>1729</v>
      </c>
      <c r="X24" s="141" t="s">
        <v>1729</v>
      </c>
      <c r="Y24" s="149" t="s">
        <v>1730</v>
      </c>
      <c r="Z24" s="141" t="s">
        <v>1729</v>
      </c>
      <c r="AA24" s="141" t="s">
        <v>1729</v>
      </c>
      <c r="AB24" s="141" t="s">
        <v>1729</v>
      </c>
      <c r="AC24" s="141" t="s">
        <v>1729</v>
      </c>
      <c r="AD24" s="141" t="s">
        <v>1729</v>
      </c>
      <c r="AE24" s="141" t="s">
        <v>1729</v>
      </c>
      <c r="AF24" s="149" t="s">
        <v>1730</v>
      </c>
      <c r="AG24" s="141" t="s">
        <v>1729</v>
      </c>
      <c r="AH24" s="141" t="s">
        <v>1729</v>
      </c>
      <c r="AI24" s="141" t="s">
        <v>1729</v>
      </c>
      <c r="AJ24" s="143">
        <v>19</v>
      </c>
    </row>
    <row r="25" spans="1:36" x14ac:dyDescent="0.25">
      <c r="A25" s="144">
        <v>21</v>
      </c>
      <c r="B25" s="142" t="s">
        <v>1774</v>
      </c>
      <c r="C25" s="142" t="s">
        <v>1720</v>
      </c>
      <c r="D25" s="141" t="s">
        <v>1775</v>
      </c>
      <c r="E25" s="155">
        <v>43142</v>
      </c>
      <c r="F25" s="141" t="s">
        <v>1451</v>
      </c>
      <c r="G25" s="141" t="s">
        <v>1733</v>
      </c>
      <c r="H25" s="141" t="s">
        <v>1734</v>
      </c>
      <c r="I25" s="141" t="s">
        <v>1734</v>
      </c>
      <c r="J25" s="141" t="s">
        <v>1734</v>
      </c>
      <c r="K25" s="149" t="s">
        <v>1734</v>
      </c>
      <c r="L25" s="141" t="s">
        <v>1734</v>
      </c>
      <c r="M25" s="141" t="s">
        <v>1734</v>
      </c>
      <c r="N25" s="141" t="s">
        <v>1734</v>
      </c>
      <c r="O25" s="141" t="s">
        <v>1734</v>
      </c>
      <c r="P25" s="141" t="s">
        <v>1734</v>
      </c>
      <c r="Q25" s="141" t="s">
        <v>1734</v>
      </c>
      <c r="R25" s="149" t="s">
        <v>1730</v>
      </c>
      <c r="S25" s="141" t="s">
        <v>1729</v>
      </c>
      <c r="T25" s="141" t="s">
        <v>1729</v>
      </c>
      <c r="U25" s="141" t="s">
        <v>1729</v>
      </c>
      <c r="V25" s="141" t="s">
        <v>1729</v>
      </c>
      <c r="W25" s="141" t="s">
        <v>1729</v>
      </c>
      <c r="X25" s="141" t="s">
        <v>1729</v>
      </c>
      <c r="Y25" s="149" t="s">
        <v>1730</v>
      </c>
      <c r="Z25" s="141" t="s">
        <v>1729</v>
      </c>
      <c r="AA25" s="141" t="s">
        <v>1729</v>
      </c>
      <c r="AB25" s="141" t="s">
        <v>1729</v>
      </c>
      <c r="AC25" s="141" t="s">
        <v>1729</v>
      </c>
      <c r="AD25" s="141" t="s">
        <v>1729</v>
      </c>
      <c r="AE25" s="141" t="s">
        <v>1729</v>
      </c>
      <c r="AF25" s="149" t="s">
        <v>1730</v>
      </c>
      <c r="AG25" s="141" t="s">
        <v>1729</v>
      </c>
      <c r="AH25" s="141" t="s">
        <v>1729</v>
      </c>
      <c r="AI25" s="141" t="s">
        <v>1729</v>
      </c>
      <c r="AJ25" s="143">
        <v>18</v>
      </c>
    </row>
    <row r="26" spans="1:36" x14ac:dyDescent="0.25">
      <c r="A26" s="144">
        <v>22</v>
      </c>
      <c r="B26" s="142" t="s">
        <v>1776</v>
      </c>
      <c r="C26" s="142" t="s">
        <v>1716</v>
      </c>
      <c r="D26" s="141" t="s">
        <v>1777</v>
      </c>
      <c r="E26" s="155">
        <v>43153</v>
      </c>
      <c r="F26" s="141" t="s">
        <v>1452</v>
      </c>
      <c r="G26" s="141" t="s">
        <v>1733</v>
      </c>
      <c r="H26" s="141" t="s">
        <v>1734</v>
      </c>
      <c r="I26" s="141" t="s">
        <v>1734</v>
      </c>
      <c r="J26" s="141" t="s">
        <v>1734</v>
      </c>
      <c r="K26" s="149" t="s">
        <v>1734</v>
      </c>
      <c r="L26" s="141" t="s">
        <v>1734</v>
      </c>
      <c r="M26" s="141" t="s">
        <v>1734</v>
      </c>
      <c r="N26" s="141" t="s">
        <v>1734</v>
      </c>
      <c r="O26" s="141" t="s">
        <v>1734</v>
      </c>
      <c r="P26" s="141" t="s">
        <v>1734</v>
      </c>
      <c r="Q26" s="141" t="s">
        <v>1734</v>
      </c>
      <c r="R26" s="149" t="s">
        <v>1734</v>
      </c>
      <c r="S26" s="141" t="s">
        <v>1734</v>
      </c>
      <c r="T26" s="141" t="s">
        <v>1734</v>
      </c>
      <c r="U26" s="141" t="s">
        <v>1734</v>
      </c>
      <c r="V26" s="141" t="s">
        <v>1734</v>
      </c>
      <c r="W26" s="141" t="s">
        <v>1734</v>
      </c>
      <c r="X26" s="141" t="s">
        <v>1734</v>
      </c>
      <c r="Y26" s="149" t="s">
        <v>1734</v>
      </c>
      <c r="Z26" s="141" t="s">
        <v>1734</v>
      </c>
      <c r="AA26" s="141" t="s">
        <v>1734</v>
      </c>
      <c r="AB26" s="141" t="s">
        <v>1734</v>
      </c>
      <c r="AC26" s="141" t="s">
        <v>1729</v>
      </c>
      <c r="AD26" s="141" t="s">
        <v>1729</v>
      </c>
      <c r="AE26" s="141" t="s">
        <v>1729</v>
      </c>
      <c r="AF26" s="149" t="s">
        <v>1730</v>
      </c>
      <c r="AG26" s="141" t="s">
        <v>1729</v>
      </c>
      <c r="AH26" s="141" t="s">
        <v>1729</v>
      </c>
      <c r="AI26" s="141" t="s">
        <v>1729</v>
      </c>
      <c r="AJ26" s="143">
        <v>7</v>
      </c>
    </row>
    <row r="27" spans="1:36" x14ac:dyDescent="0.25">
      <c r="A27" s="144">
        <v>23</v>
      </c>
      <c r="B27" s="142" t="s">
        <v>1778</v>
      </c>
      <c r="C27" s="142" t="s">
        <v>117</v>
      </c>
      <c r="D27" s="141" t="s">
        <v>1779</v>
      </c>
      <c r="E27" s="155">
        <v>43009</v>
      </c>
      <c r="F27" s="141" t="s">
        <v>1780</v>
      </c>
      <c r="G27" s="141" t="s">
        <v>1733</v>
      </c>
      <c r="H27" s="141" t="s">
        <v>1729</v>
      </c>
      <c r="I27" s="141" t="s">
        <v>1729</v>
      </c>
      <c r="J27" s="141" t="s">
        <v>1729</v>
      </c>
      <c r="K27" s="149" t="s">
        <v>1730</v>
      </c>
      <c r="L27" s="141" t="s">
        <v>1729</v>
      </c>
      <c r="M27" s="141" t="s">
        <v>1729</v>
      </c>
      <c r="N27" s="141" t="s">
        <v>1729</v>
      </c>
      <c r="O27" s="141" t="s">
        <v>1729</v>
      </c>
      <c r="P27" s="141" t="s">
        <v>1729</v>
      </c>
      <c r="Q27" s="141" t="s">
        <v>1729</v>
      </c>
      <c r="R27" s="149" t="s">
        <v>1730</v>
      </c>
      <c r="S27" s="141" t="s">
        <v>1729</v>
      </c>
      <c r="T27" s="141" t="s">
        <v>1729</v>
      </c>
      <c r="U27" s="141" t="s">
        <v>1729</v>
      </c>
      <c r="V27" s="141" t="s">
        <v>1729</v>
      </c>
      <c r="W27" s="141" t="s">
        <v>1729</v>
      </c>
      <c r="X27" s="141" t="s">
        <v>1729</v>
      </c>
      <c r="Y27" s="149" t="s">
        <v>1730</v>
      </c>
      <c r="Z27" s="141" t="s">
        <v>1729</v>
      </c>
      <c r="AA27" s="141" t="s">
        <v>1729</v>
      </c>
      <c r="AB27" s="141" t="s">
        <v>1729</v>
      </c>
      <c r="AC27" s="141" t="s">
        <v>1734</v>
      </c>
      <c r="AD27" s="141" t="s">
        <v>1729</v>
      </c>
      <c r="AE27" s="141" t="s">
        <v>1729</v>
      </c>
      <c r="AF27" s="149" t="s">
        <v>1730</v>
      </c>
      <c r="AG27" s="141" t="s">
        <v>1729</v>
      </c>
      <c r="AH27" s="141" t="s">
        <v>1729</v>
      </c>
      <c r="AI27" s="141" t="s">
        <v>1729</v>
      </c>
      <c r="AJ27" s="143">
        <v>27</v>
      </c>
    </row>
    <row r="28" spans="1:36" x14ac:dyDescent="0.25">
      <c r="A28" s="144">
        <v>24</v>
      </c>
      <c r="B28" s="142" t="s">
        <v>1781</v>
      </c>
      <c r="C28" s="142" t="s">
        <v>41</v>
      </c>
      <c r="D28" s="141" t="s">
        <v>1782</v>
      </c>
      <c r="E28" s="155">
        <v>43009</v>
      </c>
      <c r="F28" s="141" t="s">
        <v>1780</v>
      </c>
      <c r="G28" s="141" t="s">
        <v>1733</v>
      </c>
      <c r="H28" s="141" t="s">
        <v>1729</v>
      </c>
      <c r="I28" s="141" t="s">
        <v>1729</v>
      </c>
      <c r="J28" s="141" t="s">
        <v>1729</v>
      </c>
      <c r="K28" s="149" t="s">
        <v>1730</v>
      </c>
      <c r="L28" s="141" t="s">
        <v>1734</v>
      </c>
      <c r="M28" s="141" t="s">
        <v>1729</v>
      </c>
      <c r="N28" s="141" t="s">
        <v>1729</v>
      </c>
      <c r="O28" s="141" t="s">
        <v>1729</v>
      </c>
      <c r="P28" s="141" t="s">
        <v>1729</v>
      </c>
      <c r="Q28" s="141" t="s">
        <v>1729</v>
      </c>
      <c r="R28" s="149" t="s">
        <v>1734</v>
      </c>
      <c r="S28" s="141" t="s">
        <v>1734</v>
      </c>
      <c r="T28" s="141" t="s">
        <v>1729</v>
      </c>
      <c r="U28" s="141" t="s">
        <v>1729</v>
      </c>
      <c r="V28" s="141" t="s">
        <v>1729</v>
      </c>
      <c r="W28" s="141" t="s">
        <v>1729</v>
      </c>
      <c r="X28" s="141" t="s">
        <v>1729</v>
      </c>
      <c r="Y28" s="149" t="s">
        <v>1734</v>
      </c>
      <c r="Z28" s="141" t="s">
        <v>1734</v>
      </c>
      <c r="AA28" s="141" t="s">
        <v>1734</v>
      </c>
      <c r="AB28" s="141" t="s">
        <v>1729</v>
      </c>
      <c r="AC28" s="141" t="s">
        <v>1729</v>
      </c>
      <c r="AD28" s="141" t="s">
        <v>1729</v>
      </c>
      <c r="AE28" s="141" t="s">
        <v>1729</v>
      </c>
      <c r="AF28" s="149" t="s">
        <v>1730</v>
      </c>
      <c r="AG28" s="141" t="s">
        <v>1729</v>
      </c>
      <c r="AH28" s="141" t="s">
        <v>1729</v>
      </c>
      <c r="AI28" s="141" t="s">
        <v>1729</v>
      </c>
      <c r="AJ28" s="143">
        <v>22</v>
      </c>
    </row>
    <row r="29" spans="1:36" x14ac:dyDescent="0.25">
      <c r="A29" s="144">
        <v>25</v>
      </c>
      <c r="B29" s="142" t="s">
        <v>1783</v>
      </c>
      <c r="C29" s="142" t="s">
        <v>886</v>
      </c>
      <c r="D29" s="141" t="s">
        <v>1784</v>
      </c>
      <c r="E29" s="155">
        <v>43009</v>
      </c>
      <c r="F29" s="141" t="s">
        <v>1780</v>
      </c>
      <c r="G29" s="141" t="s">
        <v>1733</v>
      </c>
      <c r="H29" s="141" t="s">
        <v>1734</v>
      </c>
      <c r="I29" s="141" t="s">
        <v>1729</v>
      </c>
      <c r="J29" s="141" t="s">
        <v>1729</v>
      </c>
      <c r="K29" s="149" t="s">
        <v>1730</v>
      </c>
      <c r="L29" s="141" t="s">
        <v>1729</v>
      </c>
      <c r="M29" s="141" t="s">
        <v>1729</v>
      </c>
      <c r="N29" s="141" t="s">
        <v>1729</v>
      </c>
      <c r="O29" s="141" t="s">
        <v>1729</v>
      </c>
      <c r="P29" s="141" t="s">
        <v>1729</v>
      </c>
      <c r="Q29" s="141" t="s">
        <v>1912</v>
      </c>
      <c r="R29" s="149" t="s">
        <v>1730</v>
      </c>
      <c r="S29" s="141" t="s">
        <v>1729</v>
      </c>
      <c r="T29" s="141" t="s">
        <v>1734</v>
      </c>
      <c r="U29" s="141" t="s">
        <v>1729</v>
      </c>
      <c r="V29" s="141" t="s">
        <v>1729</v>
      </c>
      <c r="W29" s="141" t="s">
        <v>1729</v>
      </c>
      <c r="X29" s="141" t="s">
        <v>1729</v>
      </c>
      <c r="Y29" s="149" t="s">
        <v>1730</v>
      </c>
      <c r="Z29" s="141" t="s">
        <v>1729</v>
      </c>
      <c r="AA29" s="141" t="s">
        <v>1729</v>
      </c>
      <c r="AB29" s="141" t="s">
        <v>1734</v>
      </c>
      <c r="AC29" s="141" t="s">
        <v>1734</v>
      </c>
      <c r="AD29" s="141" t="s">
        <v>1729</v>
      </c>
      <c r="AE29" s="141" t="s">
        <v>1729</v>
      </c>
      <c r="AF29" s="149" t="s">
        <v>1730</v>
      </c>
      <c r="AG29" s="141" t="s">
        <v>1729</v>
      </c>
      <c r="AH29" s="141" t="s">
        <v>1729</v>
      </c>
      <c r="AI29" s="141" t="s">
        <v>1729</v>
      </c>
      <c r="AJ29" s="143">
        <v>23.5</v>
      </c>
    </row>
    <row r="30" spans="1:36" x14ac:dyDescent="0.25">
      <c r="A30" s="144">
        <v>26</v>
      </c>
      <c r="B30" s="142" t="s">
        <v>1785</v>
      </c>
      <c r="C30" s="142" t="s">
        <v>183</v>
      </c>
      <c r="D30" s="141" t="s">
        <v>1786</v>
      </c>
      <c r="E30" s="155">
        <v>43009</v>
      </c>
      <c r="F30" s="141" t="s">
        <v>1780</v>
      </c>
      <c r="G30" s="141" t="s">
        <v>1742</v>
      </c>
      <c r="H30" s="141" t="s">
        <v>1729</v>
      </c>
      <c r="I30" s="141" t="s">
        <v>1729</v>
      </c>
      <c r="J30" s="141" t="s">
        <v>1729</v>
      </c>
      <c r="K30" s="149" t="s">
        <v>1730</v>
      </c>
      <c r="L30" s="141" t="s">
        <v>1729</v>
      </c>
      <c r="M30" s="141" t="s">
        <v>1729</v>
      </c>
      <c r="N30" s="141" t="s">
        <v>1729</v>
      </c>
      <c r="O30" s="141" t="s">
        <v>1729</v>
      </c>
      <c r="P30" s="141" t="s">
        <v>1729</v>
      </c>
      <c r="Q30" s="141" t="s">
        <v>1729</v>
      </c>
      <c r="R30" s="149" t="s">
        <v>1730</v>
      </c>
      <c r="S30" s="141" t="s">
        <v>1729</v>
      </c>
      <c r="T30" s="141" t="s">
        <v>1729</v>
      </c>
      <c r="U30" s="141" t="s">
        <v>1729</v>
      </c>
      <c r="V30" s="141" t="s">
        <v>1729</v>
      </c>
      <c r="W30" s="141" t="s">
        <v>1729</v>
      </c>
      <c r="X30" s="141" t="s">
        <v>1729</v>
      </c>
      <c r="Y30" s="149" t="s">
        <v>1730</v>
      </c>
      <c r="Z30" s="141" t="s">
        <v>1729</v>
      </c>
      <c r="AA30" s="141" t="s">
        <v>1729</v>
      </c>
      <c r="AB30" s="141" t="s">
        <v>1729</v>
      </c>
      <c r="AC30" s="141" t="s">
        <v>1729</v>
      </c>
      <c r="AD30" s="141" t="s">
        <v>1729</v>
      </c>
      <c r="AE30" s="141" t="s">
        <v>1729</v>
      </c>
      <c r="AF30" s="149" t="s">
        <v>1730</v>
      </c>
      <c r="AG30" s="141" t="s">
        <v>1729</v>
      </c>
      <c r="AH30" s="141" t="s">
        <v>1729</v>
      </c>
      <c r="AI30" s="141" t="s">
        <v>1729</v>
      </c>
      <c r="AJ30" s="143">
        <v>28</v>
      </c>
    </row>
    <row r="31" spans="1:36" x14ac:dyDescent="0.25">
      <c r="A31" s="144">
        <v>27</v>
      </c>
      <c r="B31" s="142" t="s">
        <v>1787</v>
      </c>
      <c r="C31" s="142" t="s">
        <v>219</v>
      </c>
      <c r="D31" s="141" t="s">
        <v>1788</v>
      </c>
      <c r="E31" s="155">
        <v>43009</v>
      </c>
      <c r="F31" s="141" t="s">
        <v>1780</v>
      </c>
      <c r="G31" s="141" t="s">
        <v>1733</v>
      </c>
      <c r="H31" s="141" t="s">
        <v>1734</v>
      </c>
      <c r="I31" s="141" t="s">
        <v>1734</v>
      </c>
      <c r="J31" s="141" t="s">
        <v>1729</v>
      </c>
      <c r="K31" s="149" t="s">
        <v>1730</v>
      </c>
      <c r="L31" s="141" t="s">
        <v>1729</v>
      </c>
      <c r="M31" s="141" t="s">
        <v>1729</v>
      </c>
      <c r="N31" s="141" t="s">
        <v>1729</v>
      </c>
      <c r="O31" s="141" t="s">
        <v>1729</v>
      </c>
      <c r="P31" s="141" t="s">
        <v>1729</v>
      </c>
      <c r="Q31" s="141" t="s">
        <v>1729</v>
      </c>
      <c r="R31" s="149" t="s">
        <v>1730</v>
      </c>
      <c r="S31" s="141" t="s">
        <v>1729</v>
      </c>
      <c r="T31" s="141" t="s">
        <v>1734</v>
      </c>
      <c r="U31" s="141" t="s">
        <v>1729</v>
      </c>
      <c r="V31" s="141" t="s">
        <v>1729</v>
      </c>
      <c r="W31" s="141" t="s">
        <v>1729</v>
      </c>
      <c r="X31" s="141" t="s">
        <v>1912</v>
      </c>
      <c r="Y31" s="149" t="s">
        <v>1734</v>
      </c>
      <c r="Z31" s="141" t="s">
        <v>1734</v>
      </c>
      <c r="AA31" s="141" t="s">
        <v>1734</v>
      </c>
      <c r="AB31" s="141" t="s">
        <v>1734</v>
      </c>
      <c r="AC31" s="141" t="s">
        <v>1734</v>
      </c>
      <c r="AD31" s="141" t="s">
        <v>1734</v>
      </c>
      <c r="AE31" s="141" t="s">
        <v>1734</v>
      </c>
      <c r="AF31" s="149" t="s">
        <v>1734</v>
      </c>
      <c r="AG31" s="141" t="s">
        <v>1734</v>
      </c>
      <c r="AH31" s="141" t="s">
        <v>1734</v>
      </c>
      <c r="AI31" s="141" t="s">
        <v>1734</v>
      </c>
      <c r="AJ31" s="143">
        <v>13.5</v>
      </c>
    </row>
    <row r="32" spans="1:36" x14ac:dyDescent="0.25">
      <c r="A32" s="144">
        <v>28</v>
      </c>
      <c r="B32" s="142" t="s">
        <v>1789</v>
      </c>
      <c r="C32" s="142" t="s">
        <v>36</v>
      </c>
      <c r="D32" s="141" t="s">
        <v>1790</v>
      </c>
      <c r="E32" s="155">
        <v>43009</v>
      </c>
      <c r="F32" s="141" t="s">
        <v>1780</v>
      </c>
      <c r="G32" s="141" t="s">
        <v>1733</v>
      </c>
      <c r="H32" s="141" t="s">
        <v>1729</v>
      </c>
      <c r="I32" s="141" t="s">
        <v>1734</v>
      </c>
      <c r="J32" s="141" t="s">
        <v>1729</v>
      </c>
      <c r="K32" s="149" t="s">
        <v>1730</v>
      </c>
      <c r="L32" s="141" t="s">
        <v>1729</v>
      </c>
      <c r="M32" s="141" t="s">
        <v>1729</v>
      </c>
      <c r="N32" s="141" t="s">
        <v>1729</v>
      </c>
      <c r="O32" s="141" t="s">
        <v>1729</v>
      </c>
      <c r="P32" s="141" t="s">
        <v>1729</v>
      </c>
      <c r="Q32" s="141" t="s">
        <v>1729</v>
      </c>
      <c r="R32" s="149" t="s">
        <v>1730</v>
      </c>
      <c r="S32" s="141" t="s">
        <v>1729</v>
      </c>
      <c r="T32" s="141" t="s">
        <v>1729</v>
      </c>
      <c r="U32" s="141" t="s">
        <v>1729</v>
      </c>
      <c r="V32" s="141" t="s">
        <v>1729</v>
      </c>
      <c r="W32" s="141" t="s">
        <v>1729</v>
      </c>
      <c r="X32" s="141" t="s">
        <v>1729</v>
      </c>
      <c r="Y32" s="149" t="s">
        <v>1730</v>
      </c>
      <c r="Z32" s="141" t="s">
        <v>1729</v>
      </c>
      <c r="AA32" s="141" t="s">
        <v>1729</v>
      </c>
      <c r="AB32" s="141" t="s">
        <v>1729</v>
      </c>
      <c r="AC32" s="141" t="s">
        <v>1729</v>
      </c>
      <c r="AD32" s="141" t="s">
        <v>1729</v>
      </c>
      <c r="AE32" s="141" t="s">
        <v>1729</v>
      </c>
      <c r="AF32" s="149" t="s">
        <v>1734</v>
      </c>
      <c r="AG32" s="141" t="s">
        <v>1729</v>
      </c>
      <c r="AH32" s="141" t="s">
        <v>1729</v>
      </c>
      <c r="AI32" s="141" t="s">
        <v>1729</v>
      </c>
      <c r="AJ32" s="143">
        <v>26</v>
      </c>
    </row>
    <row r="33" spans="1:36" x14ac:dyDescent="0.25">
      <c r="A33" s="144">
        <v>29</v>
      </c>
      <c r="B33" s="142" t="s">
        <v>1791</v>
      </c>
      <c r="C33" s="142" t="s">
        <v>594</v>
      </c>
      <c r="D33" s="141" t="s">
        <v>1748</v>
      </c>
      <c r="E33" s="155">
        <v>43009</v>
      </c>
      <c r="F33" s="141" t="s">
        <v>1780</v>
      </c>
      <c r="G33" s="141" t="s">
        <v>1733</v>
      </c>
      <c r="H33" s="141" t="s">
        <v>1729</v>
      </c>
      <c r="I33" s="141" t="s">
        <v>1729</v>
      </c>
      <c r="J33" s="141" t="s">
        <v>1729</v>
      </c>
      <c r="K33" s="149" t="s">
        <v>1730</v>
      </c>
      <c r="L33" s="141" t="s">
        <v>1729</v>
      </c>
      <c r="M33" s="141" t="s">
        <v>1734</v>
      </c>
      <c r="N33" s="141" t="s">
        <v>1729</v>
      </c>
      <c r="O33" s="141" t="s">
        <v>1729</v>
      </c>
      <c r="P33" s="141" t="s">
        <v>1729</v>
      </c>
      <c r="Q33" s="141" t="s">
        <v>1729</v>
      </c>
      <c r="R33" s="149" t="s">
        <v>1730</v>
      </c>
      <c r="S33" s="141" t="s">
        <v>1729</v>
      </c>
      <c r="T33" s="141" t="s">
        <v>1729</v>
      </c>
      <c r="U33" s="141" t="s">
        <v>1729</v>
      </c>
      <c r="V33" s="141" t="s">
        <v>1729</v>
      </c>
      <c r="W33" s="141" t="s">
        <v>1729</v>
      </c>
      <c r="X33" s="141" t="s">
        <v>1734</v>
      </c>
      <c r="Y33" s="149" t="s">
        <v>1730</v>
      </c>
      <c r="Z33" s="141" t="s">
        <v>1729</v>
      </c>
      <c r="AA33" s="141" t="s">
        <v>1729</v>
      </c>
      <c r="AB33" s="141" t="s">
        <v>1729</v>
      </c>
      <c r="AC33" s="141" t="s">
        <v>1729</v>
      </c>
      <c r="AD33" s="141" t="s">
        <v>1729</v>
      </c>
      <c r="AE33" s="141" t="s">
        <v>1729</v>
      </c>
      <c r="AF33" s="149" t="s">
        <v>1730</v>
      </c>
      <c r="AG33" s="141" t="s">
        <v>1729</v>
      </c>
      <c r="AH33" s="141" t="s">
        <v>1729</v>
      </c>
      <c r="AI33" s="141" t="s">
        <v>1729</v>
      </c>
      <c r="AJ33" s="143">
        <v>26</v>
      </c>
    </row>
    <row r="34" spans="1:36" x14ac:dyDescent="0.25">
      <c r="A34" s="144">
        <v>30</v>
      </c>
      <c r="B34" s="142" t="s">
        <v>1792</v>
      </c>
      <c r="C34" s="142" t="s">
        <v>333</v>
      </c>
      <c r="D34" s="141" t="s">
        <v>1793</v>
      </c>
      <c r="E34" s="155">
        <v>43009</v>
      </c>
      <c r="F34" s="141" t="s">
        <v>1780</v>
      </c>
      <c r="G34" s="141" t="s">
        <v>1733</v>
      </c>
      <c r="H34" s="141" t="s">
        <v>1729</v>
      </c>
      <c r="I34" s="141" t="s">
        <v>1729</v>
      </c>
      <c r="J34" s="141" t="s">
        <v>1729</v>
      </c>
      <c r="K34" s="149" t="s">
        <v>1730</v>
      </c>
      <c r="L34" s="141" t="s">
        <v>1729</v>
      </c>
      <c r="M34" s="141" t="s">
        <v>1729</v>
      </c>
      <c r="N34" s="141" t="s">
        <v>1729</v>
      </c>
      <c r="O34" s="141" t="s">
        <v>1729</v>
      </c>
      <c r="P34" s="141" t="s">
        <v>1729</v>
      </c>
      <c r="Q34" s="141" t="s">
        <v>1729</v>
      </c>
      <c r="R34" s="149" t="s">
        <v>1730</v>
      </c>
      <c r="S34" s="141" t="s">
        <v>1729</v>
      </c>
      <c r="T34" s="141" t="s">
        <v>1729</v>
      </c>
      <c r="U34" s="141" t="s">
        <v>1729</v>
      </c>
      <c r="V34" s="141" t="s">
        <v>1729</v>
      </c>
      <c r="W34" s="141" t="s">
        <v>1729</v>
      </c>
      <c r="X34" s="141" t="s">
        <v>1729</v>
      </c>
      <c r="Y34" s="149" t="s">
        <v>1730</v>
      </c>
      <c r="Z34" s="141" t="s">
        <v>1729</v>
      </c>
      <c r="AA34" s="141" t="s">
        <v>1729</v>
      </c>
      <c r="AB34" s="141" t="s">
        <v>1729</v>
      </c>
      <c r="AC34" s="141" t="s">
        <v>1729</v>
      </c>
      <c r="AD34" s="141" t="s">
        <v>1729</v>
      </c>
      <c r="AE34" s="141" t="s">
        <v>1729</v>
      </c>
      <c r="AF34" s="149" t="s">
        <v>1730</v>
      </c>
      <c r="AG34" s="141" t="s">
        <v>1729</v>
      </c>
      <c r="AH34" s="141" t="s">
        <v>1729</v>
      </c>
      <c r="AI34" s="141" t="s">
        <v>1729</v>
      </c>
      <c r="AJ34" s="143">
        <v>28</v>
      </c>
    </row>
    <row r="35" spans="1:36" x14ac:dyDescent="0.25">
      <c r="A35" s="144">
        <v>31</v>
      </c>
      <c r="B35" s="142" t="s">
        <v>1794</v>
      </c>
      <c r="C35" s="142" t="s">
        <v>185</v>
      </c>
      <c r="D35" s="141" t="s">
        <v>1795</v>
      </c>
      <c r="E35" s="155">
        <v>43009</v>
      </c>
      <c r="F35" s="141" t="s">
        <v>1780</v>
      </c>
      <c r="G35" s="141" t="s">
        <v>1733</v>
      </c>
      <c r="H35" s="141" t="s">
        <v>1729</v>
      </c>
      <c r="I35" s="141" t="s">
        <v>1729</v>
      </c>
      <c r="J35" s="141" t="s">
        <v>1729</v>
      </c>
      <c r="K35" s="149" t="s">
        <v>1730</v>
      </c>
      <c r="L35" s="141" t="s">
        <v>1729</v>
      </c>
      <c r="M35" s="141" t="s">
        <v>1734</v>
      </c>
      <c r="N35" s="141" t="s">
        <v>1729</v>
      </c>
      <c r="O35" s="141" t="s">
        <v>1729</v>
      </c>
      <c r="P35" s="141" t="s">
        <v>1729</v>
      </c>
      <c r="Q35" s="141" t="s">
        <v>1729</v>
      </c>
      <c r="R35" s="149" t="s">
        <v>1730</v>
      </c>
      <c r="S35" s="141" t="s">
        <v>1729</v>
      </c>
      <c r="T35" s="141" t="s">
        <v>1729</v>
      </c>
      <c r="U35" s="141" t="s">
        <v>1729</v>
      </c>
      <c r="V35" s="141" t="s">
        <v>1729</v>
      </c>
      <c r="W35" s="141" t="s">
        <v>1729</v>
      </c>
      <c r="X35" s="141" t="s">
        <v>1729</v>
      </c>
      <c r="Y35" s="149" t="s">
        <v>1730</v>
      </c>
      <c r="Z35" s="141" t="s">
        <v>1729</v>
      </c>
      <c r="AA35" s="141" t="s">
        <v>1734</v>
      </c>
      <c r="AB35" s="141" t="s">
        <v>1729</v>
      </c>
      <c r="AC35" s="141" t="s">
        <v>1729</v>
      </c>
      <c r="AD35" s="141" t="s">
        <v>1729</v>
      </c>
      <c r="AE35" s="141" t="s">
        <v>1729</v>
      </c>
      <c r="AF35" s="149" t="s">
        <v>1730</v>
      </c>
      <c r="AG35" s="141" t="s">
        <v>1729</v>
      </c>
      <c r="AH35" s="141" t="s">
        <v>1734</v>
      </c>
      <c r="AI35" s="141" t="s">
        <v>1729</v>
      </c>
      <c r="AJ35" s="143">
        <v>25</v>
      </c>
    </row>
    <row r="36" spans="1:36" x14ac:dyDescent="0.25">
      <c r="A36" s="144">
        <v>32</v>
      </c>
      <c r="B36" s="141" t="s">
        <v>1796</v>
      </c>
      <c r="C36" s="142" t="s">
        <v>57</v>
      </c>
      <c r="D36" s="141" t="s">
        <v>1797</v>
      </c>
      <c r="E36" s="155">
        <v>43009</v>
      </c>
      <c r="F36" s="141" t="s">
        <v>1780</v>
      </c>
      <c r="G36" s="141" t="s">
        <v>1742</v>
      </c>
      <c r="H36" s="141" t="s">
        <v>1729</v>
      </c>
      <c r="I36" s="141" t="s">
        <v>1734</v>
      </c>
      <c r="J36" s="141" t="s">
        <v>1729</v>
      </c>
      <c r="K36" s="149" t="s">
        <v>1730</v>
      </c>
      <c r="L36" s="141" t="s">
        <v>1734</v>
      </c>
      <c r="M36" s="141" t="s">
        <v>1729</v>
      </c>
      <c r="N36" s="141" t="s">
        <v>1729</v>
      </c>
      <c r="O36" s="141" t="s">
        <v>1729</v>
      </c>
      <c r="P36" s="141" t="s">
        <v>1729</v>
      </c>
      <c r="Q36" s="141" t="s">
        <v>1729</v>
      </c>
      <c r="R36" s="149" t="s">
        <v>1730</v>
      </c>
      <c r="S36" s="141" t="s">
        <v>1729</v>
      </c>
      <c r="T36" s="141" t="s">
        <v>1729</v>
      </c>
      <c r="U36" s="141" t="s">
        <v>1729</v>
      </c>
      <c r="V36" s="141" t="s">
        <v>1729</v>
      </c>
      <c r="W36" s="141" t="s">
        <v>1734</v>
      </c>
      <c r="X36" s="141" t="s">
        <v>1734</v>
      </c>
      <c r="Y36" s="149" t="s">
        <v>1734</v>
      </c>
      <c r="Z36" s="141" t="s">
        <v>1734</v>
      </c>
      <c r="AA36" s="141" t="s">
        <v>1734</v>
      </c>
      <c r="AB36" s="141" t="s">
        <v>1734</v>
      </c>
      <c r="AC36" s="141" t="s">
        <v>1734</v>
      </c>
      <c r="AD36" s="141" t="s">
        <v>1734</v>
      </c>
      <c r="AE36" s="141" t="s">
        <v>1734</v>
      </c>
      <c r="AF36" s="149" t="s">
        <v>1734</v>
      </c>
      <c r="AG36" s="141" t="s">
        <v>1734</v>
      </c>
      <c r="AH36" s="141" t="s">
        <v>1734</v>
      </c>
      <c r="AI36" s="141" t="s">
        <v>1734</v>
      </c>
      <c r="AJ36" s="143">
        <v>13</v>
      </c>
    </row>
    <row r="37" spans="1:36" x14ac:dyDescent="0.25">
      <c r="A37" s="144">
        <v>33</v>
      </c>
      <c r="B37" s="142" t="s">
        <v>1798</v>
      </c>
      <c r="C37" s="142" t="s">
        <v>187</v>
      </c>
      <c r="D37" s="141" t="s">
        <v>1799</v>
      </c>
      <c r="E37" s="155">
        <v>43009</v>
      </c>
      <c r="F37" s="141" t="s">
        <v>1780</v>
      </c>
      <c r="G37" s="141" t="s">
        <v>1742</v>
      </c>
      <c r="H37" s="141" t="s">
        <v>1729</v>
      </c>
      <c r="I37" s="141" t="s">
        <v>1729</v>
      </c>
      <c r="J37" s="141" t="s">
        <v>1729</v>
      </c>
      <c r="K37" s="149" t="s">
        <v>1730</v>
      </c>
      <c r="L37" s="141" t="s">
        <v>1729</v>
      </c>
      <c r="M37" s="141" t="s">
        <v>1729</v>
      </c>
      <c r="N37" s="141" t="s">
        <v>1729</v>
      </c>
      <c r="O37" s="141" t="s">
        <v>1729</v>
      </c>
      <c r="P37" s="141" t="s">
        <v>1729</v>
      </c>
      <c r="Q37" s="141" t="s">
        <v>1729</v>
      </c>
      <c r="R37" s="149" t="s">
        <v>1730</v>
      </c>
      <c r="S37" s="141" t="s">
        <v>1729</v>
      </c>
      <c r="T37" s="141" t="s">
        <v>1729</v>
      </c>
      <c r="U37" s="141" t="s">
        <v>1729</v>
      </c>
      <c r="V37" s="141" t="s">
        <v>1729</v>
      </c>
      <c r="W37" s="141" t="s">
        <v>1729</v>
      </c>
      <c r="X37" s="141" t="s">
        <v>1729</v>
      </c>
      <c r="Y37" s="149" t="s">
        <v>1730</v>
      </c>
      <c r="Z37" s="141" t="s">
        <v>1729</v>
      </c>
      <c r="AA37" s="141" t="s">
        <v>1729</v>
      </c>
      <c r="AB37" s="141" t="s">
        <v>1729</v>
      </c>
      <c r="AC37" s="141" t="s">
        <v>1729</v>
      </c>
      <c r="AD37" s="141" t="s">
        <v>1729</v>
      </c>
      <c r="AE37" s="141" t="s">
        <v>1729</v>
      </c>
      <c r="AF37" s="149" t="s">
        <v>1730</v>
      </c>
      <c r="AG37" s="141" t="s">
        <v>1729</v>
      </c>
      <c r="AH37" s="141" t="s">
        <v>1729</v>
      </c>
      <c r="AI37" s="141" t="s">
        <v>1729</v>
      </c>
      <c r="AJ37" s="143">
        <v>28</v>
      </c>
    </row>
    <row r="38" spans="1:36" x14ac:dyDescent="0.25">
      <c r="A38" s="144">
        <v>34</v>
      </c>
      <c r="B38" s="142" t="s">
        <v>1800</v>
      </c>
      <c r="C38" s="142" t="s">
        <v>807</v>
      </c>
      <c r="D38" s="141" t="s">
        <v>1801</v>
      </c>
      <c r="E38" s="155">
        <v>43009</v>
      </c>
      <c r="F38" s="141" t="s">
        <v>1780</v>
      </c>
      <c r="G38" s="141" t="s">
        <v>1742</v>
      </c>
      <c r="H38" s="141" t="s">
        <v>1729</v>
      </c>
      <c r="I38" s="141" t="s">
        <v>1734</v>
      </c>
      <c r="J38" s="141" t="s">
        <v>1729</v>
      </c>
      <c r="K38" s="149" t="s">
        <v>1730</v>
      </c>
      <c r="L38" s="141" t="s">
        <v>1729</v>
      </c>
      <c r="M38" s="141" t="s">
        <v>1729</v>
      </c>
      <c r="N38" s="141" t="s">
        <v>1729</v>
      </c>
      <c r="O38" s="141" t="s">
        <v>1729</v>
      </c>
      <c r="P38" s="141" t="s">
        <v>1729</v>
      </c>
      <c r="Q38" s="141" t="s">
        <v>1729</v>
      </c>
      <c r="R38" s="149" t="s">
        <v>1730</v>
      </c>
      <c r="S38" s="141" t="s">
        <v>1729</v>
      </c>
      <c r="T38" s="141" t="s">
        <v>1729</v>
      </c>
      <c r="U38" s="141" t="s">
        <v>1729</v>
      </c>
      <c r="V38" s="141" t="s">
        <v>1729</v>
      </c>
      <c r="W38" s="141" t="s">
        <v>1729</v>
      </c>
      <c r="X38" s="141" t="s">
        <v>1729</v>
      </c>
      <c r="Y38" s="149" t="s">
        <v>1730</v>
      </c>
      <c r="Z38" s="141" t="s">
        <v>1729</v>
      </c>
      <c r="AA38" s="141" t="s">
        <v>1734</v>
      </c>
      <c r="AB38" s="141" t="s">
        <v>1729</v>
      </c>
      <c r="AC38" s="141" t="s">
        <v>1729</v>
      </c>
      <c r="AD38" s="141" t="s">
        <v>1729</v>
      </c>
      <c r="AE38" s="141" t="s">
        <v>1729</v>
      </c>
      <c r="AF38" s="149" t="s">
        <v>1730</v>
      </c>
      <c r="AG38" s="141" t="s">
        <v>1729</v>
      </c>
      <c r="AH38" s="141" t="s">
        <v>1729</v>
      </c>
      <c r="AI38" s="141" t="s">
        <v>1734</v>
      </c>
      <c r="AJ38" s="143">
        <v>25</v>
      </c>
    </row>
    <row r="39" spans="1:36" x14ac:dyDescent="0.25">
      <c r="A39" s="144">
        <v>35</v>
      </c>
      <c r="B39" s="142" t="s">
        <v>1802</v>
      </c>
      <c r="C39" s="142" t="s">
        <v>603</v>
      </c>
      <c r="D39" s="141" t="s">
        <v>1803</v>
      </c>
      <c r="E39" s="155">
        <v>43009</v>
      </c>
      <c r="F39" s="141" t="s">
        <v>1780</v>
      </c>
      <c r="G39" s="141" t="s">
        <v>1742</v>
      </c>
      <c r="H39" s="141" t="s">
        <v>1729</v>
      </c>
      <c r="I39" s="141" t="s">
        <v>1729</v>
      </c>
      <c r="J39" s="141" t="s">
        <v>1729</v>
      </c>
      <c r="K39" s="149" t="s">
        <v>1730</v>
      </c>
      <c r="L39" s="141" t="s">
        <v>1729</v>
      </c>
      <c r="M39" s="141" t="s">
        <v>1729</v>
      </c>
      <c r="N39" s="141" t="s">
        <v>1729</v>
      </c>
      <c r="O39" s="141" t="s">
        <v>1729</v>
      </c>
      <c r="P39" s="141" t="s">
        <v>1729</v>
      </c>
      <c r="Q39" s="141" t="s">
        <v>1729</v>
      </c>
      <c r="R39" s="149" t="s">
        <v>1730</v>
      </c>
      <c r="S39" s="141" t="s">
        <v>1729</v>
      </c>
      <c r="T39" s="141" t="s">
        <v>1729</v>
      </c>
      <c r="U39" s="141" t="s">
        <v>1729</v>
      </c>
      <c r="V39" s="141" t="s">
        <v>1729</v>
      </c>
      <c r="W39" s="141" t="s">
        <v>1729</v>
      </c>
      <c r="X39" s="141" t="s">
        <v>1729</v>
      </c>
      <c r="Y39" s="149" t="s">
        <v>1730</v>
      </c>
      <c r="Z39" s="141" t="s">
        <v>1729</v>
      </c>
      <c r="AA39" s="141" t="s">
        <v>1734</v>
      </c>
      <c r="AB39" s="141" t="s">
        <v>1734</v>
      </c>
      <c r="AC39" s="141" t="s">
        <v>1729</v>
      </c>
      <c r="AD39" s="141" t="s">
        <v>1729</v>
      </c>
      <c r="AE39" s="141" t="s">
        <v>1729</v>
      </c>
      <c r="AF39" s="149" t="s">
        <v>1730</v>
      </c>
      <c r="AG39" s="141" t="s">
        <v>1729</v>
      </c>
      <c r="AH39" s="141" t="s">
        <v>1729</v>
      </c>
      <c r="AI39" s="141" t="s">
        <v>1729</v>
      </c>
      <c r="AJ39" s="143">
        <v>26</v>
      </c>
    </row>
    <row r="40" spans="1:36" x14ac:dyDescent="0.25">
      <c r="A40" s="144">
        <v>36</v>
      </c>
      <c r="B40" s="142" t="s">
        <v>1804</v>
      </c>
      <c r="C40" s="142" t="s">
        <v>812</v>
      </c>
      <c r="D40" s="141" t="s">
        <v>1805</v>
      </c>
      <c r="E40" s="155">
        <v>43009</v>
      </c>
      <c r="F40" s="141" t="s">
        <v>1780</v>
      </c>
      <c r="G40" s="141" t="s">
        <v>1742</v>
      </c>
      <c r="H40" s="141" t="s">
        <v>1729</v>
      </c>
      <c r="I40" s="141" t="s">
        <v>1729</v>
      </c>
      <c r="J40" s="141" t="s">
        <v>1729</v>
      </c>
      <c r="K40" s="149" t="s">
        <v>1730</v>
      </c>
      <c r="L40" s="141" t="s">
        <v>1729</v>
      </c>
      <c r="M40" s="141" t="s">
        <v>1729</v>
      </c>
      <c r="N40" s="141" t="s">
        <v>1729</v>
      </c>
      <c r="O40" s="141" t="s">
        <v>1729</v>
      </c>
      <c r="P40" s="141" t="s">
        <v>1729</v>
      </c>
      <c r="Q40" s="141" t="s">
        <v>1729</v>
      </c>
      <c r="R40" s="149" t="s">
        <v>1730</v>
      </c>
      <c r="S40" s="141" t="s">
        <v>1729</v>
      </c>
      <c r="T40" s="141" t="s">
        <v>1729</v>
      </c>
      <c r="U40" s="141" t="s">
        <v>1729</v>
      </c>
      <c r="V40" s="141" t="s">
        <v>1729</v>
      </c>
      <c r="W40" s="141" t="s">
        <v>1729</v>
      </c>
      <c r="X40" s="141" t="s">
        <v>1729</v>
      </c>
      <c r="Y40" s="149" t="s">
        <v>1730</v>
      </c>
      <c r="Z40" s="141" t="s">
        <v>1729</v>
      </c>
      <c r="AA40" s="141" t="s">
        <v>1729</v>
      </c>
      <c r="AB40" s="141" t="s">
        <v>1729</v>
      </c>
      <c r="AC40" s="141" t="s">
        <v>1729</v>
      </c>
      <c r="AD40" s="141" t="s">
        <v>1729</v>
      </c>
      <c r="AE40" s="141" t="s">
        <v>1729</v>
      </c>
      <c r="AF40" s="149" t="s">
        <v>1730</v>
      </c>
      <c r="AG40" s="141" t="s">
        <v>1729</v>
      </c>
      <c r="AH40" s="141" t="s">
        <v>1729</v>
      </c>
      <c r="AI40" s="141" t="s">
        <v>1729</v>
      </c>
      <c r="AJ40" s="143">
        <v>28</v>
      </c>
    </row>
    <row r="41" spans="1:36" x14ac:dyDescent="0.25">
      <c r="A41" s="144">
        <v>37</v>
      </c>
      <c r="B41" s="142" t="s">
        <v>1806</v>
      </c>
      <c r="C41" s="142" t="s">
        <v>806</v>
      </c>
      <c r="D41" s="141" t="s">
        <v>1807</v>
      </c>
      <c r="E41" s="155">
        <v>43009</v>
      </c>
      <c r="F41" s="141" t="s">
        <v>1780</v>
      </c>
      <c r="G41" s="141" t="s">
        <v>1742</v>
      </c>
      <c r="H41" s="141" t="s">
        <v>1729</v>
      </c>
      <c r="I41" s="141" t="s">
        <v>1734</v>
      </c>
      <c r="J41" s="141" t="s">
        <v>1729</v>
      </c>
      <c r="K41" s="149" t="s">
        <v>1730</v>
      </c>
      <c r="L41" s="141" t="s">
        <v>1729</v>
      </c>
      <c r="M41" s="141" t="s">
        <v>1729</v>
      </c>
      <c r="N41" s="141" t="s">
        <v>1729</v>
      </c>
      <c r="O41" s="141" t="s">
        <v>1729</v>
      </c>
      <c r="P41" s="141" t="s">
        <v>1734</v>
      </c>
      <c r="Q41" s="141" t="s">
        <v>1729</v>
      </c>
      <c r="R41" s="149" t="s">
        <v>1730</v>
      </c>
      <c r="S41" s="141" t="s">
        <v>1729</v>
      </c>
      <c r="T41" s="141" t="s">
        <v>1729</v>
      </c>
      <c r="U41" s="141" t="s">
        <v>1729</v>
      </c>
      <c r="V41" s="141" t="s">
        <v>1734</v>
      </c>
      <c r="W41" s="141" t="s">
        <v>1734</v>
      </c>
      <c r="X41" s="141" t="s">
        <v>1729</v>
      </c>
      <c r="Y41" s="149" t="s">
        <v>1730</v>
      </c>
      <c r="Z41" s="141" t="s">
        <v>1734</v>
      </c>
      <c r="AA41" s="141" t="s">
        <v>1734</v>
      </c>
      <c r="AB41" s="141" t="s">
        <v>1729</v>
      </c>
      <c r="AC41" s="141" t="s">
        <v>1729</v>
      </c>
      <c r="AD41" s="141" t="s">
        <v>1729</v>
      </c>
      <c r="AE41" s="141" t="s">
        <v>1729</v>
      </c>
      <c r="AF41" s="149" t="s">
        <v>1730</v>
      </c>
      <c r="AG41" s="141" t="s">
        <v>1734</v>
      </c>
      <c r="AH41" s="141" t="s">
        <v>1729</v>
      </c>
      <c r="AI41" s="141" t="s">
        <v>1729</v>
      </c>
      <c r="AJ41" s="143">
        <v>21</v>
      </c>
    </row>
    <row r="42" spans="1:36" x14ac:dyDescent="0.25">
      <c r="A42" s="144">
        <v>38</v>
      </c>
      <c r="B42" s="142" t="s">
        <v>1808</v>
      </c>
      <c r="C42" s="142" t="s">
        <v>644</v>
      </c>
      <c r="D42" s="141" t="s">
        <v>1809</v>
      </c>
      <c r="E42" s="155">
        <v>43009</v>
      </c>
      <c r="F42" s="141" t="s">
        <v>1780</v>
      </c>
      <c r="G42" s="141" t="s">
        <v>1742</v>
      </c>
      <c r="H42" s="141" t="s">
        <v>1729</v>
      </c>
      <c r="I42" s="141" t="s">
        <v>1729</v>
      </c>
      <c r="J42" s="141" t="s">
        <v>1729</v>
      </c>
      <c r="K42" s="149" t="s">
        <v>1730</v>
      </c>
      <c r="L42" s="141" t="s">
        <v>1729</v>
      </c>
      <c r="M42" s="141" t="s">
        <v>1729</v>
      </c>
      <c r="N42" s="141" t="s">
        <v>1729</v>
      </c>
      <c r="O42" s="141" t="s">
        <v>1729</v>
      </c>
      <c r="P42" s="141" t="s">
        <v>1729</v>
      </c>
      <c r="Q42" s="141" t="s">
        <v>1729</v>
      </c>
      <c r="R42" s="149" t="s">
        <v>1730</v>
      </c>
      <c r="S42" s="141" t="s">
        <v>1734</v>
      </c>
      <c r="T42" s="141" t="s">
        <v>1729</v>
      </c>
      <c r="U42" s="141" t="s">
        <v>1729</v>
      </c>
      <c r="V42" s="141" t="s">
        <v>1729</v>
      </c>
      <c r="W42" s="141" t="s">
        <v>1734</v>
      </c>
      <c r="X42" s="141" t="s">
        <v>1729</v>
      </c>
      <c r="Y42" s="149" t="s">
        <v>1730</v>
      </c>
      <c r="Z42" s="141" t="s">
        <v>1729</v>
      </c>
      <c r="AA42" s="141" t="s">
        <v>1729</v>
      </c>
      <c r="AB42" s="141" t="s">
        <v>1729</v>
      </c>
      <c r="AC42" s="141" t="s">
        <v>1729</v>
      </c>
      <c r="AD42" s="141" t="s">
        <v>1729</v>
      </c>
      <c r="AE42" s="141" t="s">
        <v>1729</v>
      </c>
      <c r="AF42" s="149" t="s">
        <v>1730</v>
      </c>
      <c r="AG42" s="141" t="s">
        <v>1729</v>
      </c>
      <c r="AH42" s="141" t="s">
        <v>1734</v>
      </c>
      <c r="AI42" s="141" t="s">
        <v>1729</v>
      </c>
      <c r="AJ42" s="143">
        <v>25</v>
      </c>
    </row>
    <row r="43" spans="1:36" x14ac:dyDescent="0.25">
      <c r="A43" s="144">
        <v>39</v>
      </c>
      <c r="B43" s="142" t="s">
        <v>1810</v>
      </c>
      <c r="C43" s="142" t="s">
        <v>637</v>
      </c>
      <c r="D43" s="141" t="s">
        <v>1811</v>
      </c>
      <c r="E43" s="155">
        <v>43009</v>
      </c>
      <c r="F43" s="141" t="s">
        <v>1780</v>
      </c>
      <c r="G43" s="141" t="s">
        <v>1812</v>
      </c>
      <c r="H43" s="141" t="s">
        <v>1729</v>
      </c>
      <c r="I43" s="141" t="s">
        <v>1734</v>
      </c>
      <c r="J43" s="141" t="s">
        <v>1729</v>
      </c>
      <c r="K43" s="149" t="s">
        <v>1730</v>
      </c>
      <c r="L43" s="141" t="s">
        <v>1729</v>
      </c>
      <c r="M43" s="141" t="s">
        <v>1729</v>
      </c>
      <c r="N43" s="141" t="s">
        <v>1729</v>
      </c>
      <c r="O43" s="141" t="s">
        <v>1729</v>
      </c>
      <c r="P43" s="141" t="s">
        <v>1729</v>
      </c>
      <c r="Q43" s="141" t="s">
        <v>1729</v>
      </c>
      <c r="R43" s="149" t="s">
        <v>1730</v>
      </c>
      <c r="S43" s="141" t="s">
        <v>1729</v>
      </c>
      <c r="T43" s="141" t="s">
        <v>1729</v>
      </c>
      <c r="U43" s="141" t="s">
        <v>1729</v>
      </c>
      <c r="V43" s="141" t="s">
        <v>1729</v>
      </c>
      <c r="W43" s="141" t="s">
        <v>1729</v>
      </c>
      <c r="X43" s="141" t="s">
        <v>1729</v>
      </c>
      <c r="Y43" s="149" t="s">
        <v>1730</v>
      </c>
      <c r="Z43" s="141" t="s">
        <v>1729</v>
      </c>
      <c r="AA43" s="141" t="s">
        <v>1729</v>
      </c>
      <c r="AB43" s="141" t="s">
        <v>1734</v>
      </c>
      <c r="AC43" s="141" t="s">
        <v>1729</v>
      </c>
      <c r="AD43" s="141" t="s">
        <v>1729</v>
      </c>
      <c r="AE43" s="141" t="s">
        <v>1729</v>
      </c>
      <c r="AF43" s="149" t="s">
        <v>1730</v>
      </c>
      <c r="AG43" s="141" t="s">
        <v>1729</v>
      </c>
      <c r="AH43" s="141" t="s">
        <v>1729</v>
      </c>
      <c r="AI43" s="141" t="s">
        <v>1729</v>
      </c>
      <c r="AJ43" s="143">
        <v>26</v>
      </c>
    </row>
    <row r="44" spans="1:36" x14ac:dyDescent="0.25">
      <c r="A44" s="144">
        <v>40</v>
      </c>
      <c r="B44" s="142" t="s">
        <v>1813</v>
      </c>
      <c r="C44" s="142" t="s">
        <v>1097</v>
      </c>
      <c r="D44" s="141" t="s">
        <v>1814</v>
      </c>
      <c r="E44" s="155">
        <v>43009</v>
      </c>
      <c r="F44" s="141" t="s">
        <v>1780</v>
      </c>
      <c r="G44" s="141" t="s">
        <v>1742</v>
      </c>
      <c r="H44" s="141" t="s">
        <v>1729</v>
      </c>
      <c r="I44" s="141" t="s">
        <v>1729</v>
      </c>
      <c r="J44" s="141" t="s">
        <v>1729</v>
      </c>
      <c r="K44" s="149" t="s">
        <v>1730</v>
      </c>
      <c r="L44" s="141" t="s">
        <v>1729</v>
      </c>
      <c r="M44" s="141" t="s">
        <v>1729</v>
      </c>
      <c r="N44" s="141" t="s">
        <v>1729</v>
      </c>
      <c r="O44" s="141" t="s">
        <v>1729</v>
      </c>
      <c r="P44" s="141" t="s">
        <v>1729</v>
      </c>
      <c r="Q44" s="141" t="s">
        <v>1729</v>
      </c>
      <c r="R44" s="149" t="s">
        <v>1730</v>
      </c>
      <c r="S44" s="141" t="s">
        <v>1729</v>
      </c>
      <c r="T44" s="141" t="s">
        <v>1729</v>
      </c>
      <c r="U44" s="141" t="s">
        <v>1729</v>
      </c>
      <c r="V44" s="141" t="s">
        <v>1729</v>
      </c>
      <c r="W44" s="141" t="s">
        <v>1729</v>
      </c>
      <c r="X44" s="141" t="s">
        <v>1729</v>
      </c>
      <c r="Y44" s="149" t="s">
        <v>1730</v>
      </c>
      <c r="Z44" s="141" t="s">
        <v>1729</v>
      </c>
      <c r="AA44" s="141" t="s">
        <v>1729</v>
      </c>
      <c r="AB44" s="141" t="s">
        <v>1729</v>
      </c>
      <c r="AC44" s="141" t="s">
        <v>1729</v>
      </c>
      <c r="AD44" s="141" t="s">
        <v>1729</v>
      </c>
      <c r="AE44" s="141" t="s">
        <v>1729</v>
      </c>
      <c r="AF44" s="149" t="s">
        <v>1730</v>
      </c>
      <c r="AG44" s="141" t="s">
        <v>1729</v>
      </c>
      <c r="AH44" s="141" t="s">
        <v>1729</v>
      </c>
      <c r="AI44" s="141" t="s">
        <v>1729</v>
      </c>
      <c r="AJ44" s="143">
        <v>28</v>
      </c>
    </row>
    <row r="45" spans="1:36" x14ac:dyDescent="0.25">
      <c r="A45" s="144">
        <v>41</v>
      </c>
      <c r="B45" s="142" t="s">
        <v>1815</v>
      </c>
      <c r="C45" s="142" t="s">
        <v>1099</v>
      </c>
      <c r="D45" s="141" t="s">
        <v>1816</v>
      </c>
      <c r="E45" s="155">
        <v>43009</v>
      </c>
      <c r="F45" s="141" t="s">
        <v>1780</v>
      </c>
      <c r="G45" s="141" t="s">
        <v>1733</v>
      </c>
      <c r="H45" s="141" t="s">
        <v>1729</v>
      </c>
      <c r="I45" s="141" t="s">
        <v>1729</v>
      </c>
      <c r="J45" s="141" t="s">
        <v>1729</v>
      </c>
      <c r="K45" s="149" t="s">
        <v>1730</v>
      </c>
      <c r="L45" s="141" t="s">
        <v>1729</v>
      </c>
      <c r="M45" s="141" t="s">
        <v>1729</v>
      </c>
      <c r="N45" s="141" t="s">
        <v>1729</v>
      </c>
      <c r="O45" s="141" t="s">
        <v>1729</v>
      </c>
      <c r="P45" s="141" t="s">
        <v>1729</v>
      </c>
      <c r="Q45" s="141" t="s">
        <v>1729</v>
      </c>
      <c r="R45" s="149" t="s">
        <v>1730</v>
      </c>
      <c r="S45" s="141" t="s">
        <v>1729</v>
      </c>
      <c r="T45" s="141" t="s">
        <v>1729</v>
      </c>
      <c r="U45" s="141" t="s">
        <v>1729</v>
      </c>
      <c r="V45" s="141" t="s">
        <v>1729</v>
      </c>
      <c r="W45" s="141" t="s">
        <v>1729</v>
      </c>
      <c r="X45" s="141" t="s">
        <v>1729</v>
      </c>
      <c r="Y45" s="149" t="s">
        <v>1730</v>
      </c>
      <c r="Z45" s="141" t="s">
        <v>1729</v>
      </c>
      <c r="AA45" s="141" t="s">
        <v>1729</v>
      </c>
      <c r="AB45" s="141" t="s">
        <v>1729</v>
      </c>
      <c r="AC45" s="141" t="s">
        <v>1729</v>
      </c>
      <c r="AD45" s="141" t="s">
        <v>1729</v>
      </c>
      <c r="AE45" s="141" t="s">
        <v>1729</v>
      </c>
      <c r="AF45" s="149" t="s">
        <v>1730</v>
      </c>
      <c r="AG45" s="141" t="s">
        <v>1729</v>
      </c>
      <c r="AH45" s="141" t="s">
        <v>1729</v>
      </c>
      <c r="AI45" s="141" t="s">
        <v>1734</v>
      </c>
      <c r="AJ45" s="143">
        <v>27</v>
      </c>
    </row>
    <row r="46" spans="1:36" x14ac:dyDescent="0.25">
      <c r="A46" s="144">
        <v>42</v>
      </c>
      <c r="B46" s="142" t="s">
        <v>1817</v>
      </c>
      <c r="C46" s="142" t="s">
        <v>1101</v>
      </c>
      <c r="D46" s="141" t="s">
        <v>1818</v>
      </c>
      <c r="E46" s="155">
        <v>43009</v>
      </c>
      <c r="F46" s="141" t="s">
        <v>1780</v>
      </c>
      <c r="G46" s="141" t="s">
        <v>1733</v>
      </c>
      <c r="H46" s="141" t="s">
        <v>1729</v>
      </c>
      <c r="I46" s="141" t="s">
        <v>1729</v>
      </c>
      <c r="J46" s="141" t="s">
        <v>1729</v>
      </c>
      <c r="K46" s="149" t="s">
        <v>1730</v>
      </c>
      <c r="L46" s="141" t="s">
        <v>1729</v>
      </c>
      <c r="M46" s="141" t="s">
        <v>1729</v>
      </c>
      <c r="N46" s="141" t="s">
        <v>1729</v>
      </c>
      <c r="O46" s="141" t="s">
        <v>1729</v>
      </c>
      <c r="P46" s="141" t="s">
        <v>1729</v>
      </c>
      <c r="Q46" s="141" t="s">
        <v>1729</v>
      </c>
      <c r="R46" s="149" t="s">
        <v>1730</v>
      </c>
      <c r="S46" s="141" t="s">
        <v>1729</v>
      </c>
      <c r="T46" s="141" t="s">
        <v>1729</v>
      </c>
      <c r="U46" s="141" t="s">
        <v>1729</v>
      </c>
      <c r="V46" s="141" t="s">
        <v>1729</v>
      </c>
      <c r="W46" s="141" t="s">
        <v>1729</v>
      </c>
      <c r="X46" s="141" t="s">
        <v>1729</v>
      </c>
      <c r="Y46" s="149" t="s">
        <v>1730</v>
      </c>
      <c r="Z46" s="141" t="s">
        <v>1729</v>
      </c>
      <c r="AA46" s="141" t="s">
        <v>1729</v>
      </c>
      <c r="AB46" s="141" t="s">
        <v>1729</v>
      </c>
      <c r="AC46" s="141" t="s">
        <v>1729</v>
      </c>
      <c r="AD46" s="141" t="s">
        <v>1729</v>
      </c>
      <c r="AE46" s="141" t="s">
        <v>1729</v>
      </c>
      <c r="AF46" s="149" t="s">
        <v>1730</v>
      </c>
      <c r="AG46" s="141" t="s">
        <v>1729</v>
      </c>
      <c r="AH46" s="141" t="s">
        <v>1729</v>
      </c>
      <c r="AI46" s="141" t="s">
        <v>1729</v>
      </c>
      <c r="AJ46" s="143">
        <v>28</v>
      </c>
    </row>
    <row r="47" spans="1:36" x14ac:dyDescent="0.25">
      <c r="A47" s="144">
        <v>43</v>
      </c>
      <c r="B47" s="142" t="s">
        <v>1819</v>
      </c>
      <c r="C47" s="142" t="s">
        <v>1103</v>
      </c>
      <c r="D47" s="141" t="s">
        <v>1820</v>
      </c>
      <c r="E47" s="155">
        <v>43009</v>
      </c>
      <c r="F47" s="141" t="s">
        <v>1780</v>
      </c>
      <c r="G47" s="141" t="s">
        <v>1742</v>
      </c>
      <c r="H47" s="141" t="s">
        <v>1729</v>
      </c>
      <c r="I47" s="141" t="s">
        <v>1729</v>
      </c>
      <c r="J47" s="141" t="s">
        <v>1734</v>
      </c>
      <c r="K47" s="149" t="s">
        <v>1730</v>
      </c>
      <c r="L47" s="141" t="s">
        <v>1729</v>
      </c>
      <c r="M47" s="141" t="s">
        <v>1729</v>
      </c>
      <c r="N47" s="141" t="s">
        <v>1729</v>
      </c>
      <c r="O47" s="141" t="s">
        <v>1729</v>
      </c>
      <c r="P47" s="141" t="s">
        <v>1729</v>
      </c>
      <c r="Q47" s="141" t="s">
        <v>1734</v>
      </c>
      <c r="R47" s="149" t="s">
        <v>1734</v>
      </c>
      <c r="S47" s="141" t="s">
        <v>1729</v>
      </c>
      <c r="T47" s="141" t="s">
        <v>1729</v>
      </c>
      <c r="U47" s="141" t="s">
        <v>1729</v>
      </c>
      <c r="V47" s="141" t="s">
        <v>1729</v>
      </c>
      <c r="W47" s="141" t="s">
        <v>1729</v>
      </c>
      <c r="X47" s="141" t="s">
        <v>1729</v>
      </c>
      <c r="Y47" s="149" t="s">
        <v>1730</v>
      </c>
      <c r="Z47" s="141" t="s">
        <v>1729</v>
      </c>
      <c r="AA47" s="141" t="s">
        <v>1729</v>
      </c>
      <c r="AB47" s="141" t="s">
        <v>1729</v>
      </c>
      <c r="AC47" s="141" t="s">
        <v>1729</v>
      </c>
      <c r="AD47" s="141" t="s">
        <v>1729</v>
      </c>
      <c r="AE47" s="141" t="s">
        <v>1729</v>
      </c>
      <c r="AF47" s="149" t="s">
        <v>1730</v>
      </c>
      <c r="AG47" s="141" t="s">
        <v>1729</v>
      </c>
      <c r="AH47" s="141" t="s">
        <v>1729</v>
      </c>
      <c r="AI47" s="141" t="s">
        <v>1729</v>
      </c>
      <c r="AJ47" s="143">
        <v>25</v>
      </c>
    </row>
    <row r="48" spans="1:36" x14ac:dyDescent="0.25">
      <c r="A48" s="144">
        <v>44</v>
      </c>
      <c r="B48" s="142" t="s">
        <v>1821</v>
      </c>
      <c r="C48" s="142" t="s">
        <v>808</v>
      </c>
      <c r="D48" s="141" t="s">
        <v>1736</v>
      </c>
      <c r="E48" s="155">
        <v>43009</v>
      </c>
      <c r="F48" s="141" t="s">
        <v>1780</v>
      </c>
      <c r="G48" s="141" t="s">
        <v>1812</v>
      </c>
      <c r="H48" s="141" t="s">
        <v>1729</v>
      </c>
      <c r="I48" s="141" t="s">
        <v>1729</v>
      </c>
      <c r="J48" s="141" t="s">
        <v>1729</v>
      </c>
      <c r="K48" s="149" t="s">
        <v>1730</v>
      </c>
      <c r="L48" s="141" t="s">
        <v>1729</v>
      </c>
      <c r="M48" s="141" t="s">
        <v>1729</v>
      </c>
      <c r="N48" s="141" t="s">
        <v>1729</v>
      </c>
      <c r="O48" s="141" t="s">
        <v>1729</v>
      </c>
      <c r="P48" s="141" t="s">
        <v>1729</v>
      </c>
      <c r="Q48" s="141" t="s">
        <v>1729</v>
      </c>
      <c r="R48" s="149" t="s">
        <v>1730</v>
      </c>
      <c r="S48" s="141" t="s">
        <v>1729</v>
      </c>
      <c r="T48" s="141" t="s">
        <v>1729</v>
      </c>
      <c r="U48" s="141" t="s">
        <v>1734</v>
      </c>
      <c r="V48" s="141" t="s">
        <v>1734</v>
      </c>
      <c r="W48" s="141" t="s">
        <v>1734</v>
      </c>
      <c r="X48" s="141" t="s">
        <v>1729</v>
      </c>
      <c r="Y48" s="149" t="s">
        <v>1730</v>
      </c>
      <c r="Z48" s="141" t="s">
        <v>1729</v>
      </c>
      <c r="AA48" s="141" t="s">
        <v>1729</v>
      </c>
      <c r="AB48" s="141" t="s">
        <v>1729</v>
      </c>
      <c r="AC48" s="141" t="s">
        <v>1729</v>
      </c>
      <c r="AD48" s="141" t="s">
        <v>1729</v>
      </c>
      <c r="AE48" s="141" t="s">
        <v>1729</v>
      </c>
      <c r="AF48" s="149" t="s">
        <v>1730</v>
      </c>
      <c r="AG48" s="141" t="s">
        <v>1729</v>
      </c>
      <c r="AH48" s="141" t="s">
        <v>1729</v>
      </c>
      <c r="AI48" s="141" t="s">
        <v>1729</v>
      </c>
      <c r="AJ48" s="143">
        <v>25</v>
      </c>
    </row>
    <row r="49" spans="1:36" x14ac:dyDescent="0.25">
      <c r="A49" s="144">
        <v>45</v>
      </c>
      <c r="B49" s="142" t="s">
        <v>1822</v>
      </c>
      <c r="C49" s="142" t="s">
        <v>597</v>
      </c>
      <c r="D49" s="141" t="s">
        <v>1823</v>
      </c>
      <c r="E49" s="155">
        <v>43009</v>
      </c>
      <c r="F49" s="141" t="s">
        <v>1780</v>
      </c>
      <c r="G49" s="141" t="s">
        <v>1733</v>
      </c>
      <c r="H49" s="141" t="s">
        <v>1729</v>
      </c>
      <c r="I49" s="141" t="s">
        <v>1734</v>
      </c>
      <c r="J49" s="141" t="s">
        <v>1729</v>
      </c>
      <c r="K49" s="149" t="s">
        <v>1730</v>
      </c>
      <c r="L49" s="141" t="s">
        <v>1729</v>
      </c>
      <c r="M49" s="141" t="s">
        <v>1729</v>
      </c>
      <c r="N49" s="141" t="s">
        <v>1729</v>
      </c>
      <c r="O49" s="141" t="s">
        <v>1729</v>
      </c>
      <c r="P49" s="141" t="s">
        <v>1729</v>
      </c>
      <c r="Q49" s="141" t="s">
        <v>1729</v>
      </c>
      <c r="R49" s="149" t="s">
        <v>1730</v>
      </c>
      <c r="S49" s="141" t="s">
        <v>1729</v>
      </c>
      <c r="T49" s="141" t="s">
        <v>1729</v>
      </c>
      <c r="U49" s="141" t="s">
        <v>1729</v>
      </c>
      <c r="V49" s="141" t="s">
        <v>1729</v>
      </c>
      <c r="W49" s="141" t="s">
        <v>1729</v>
      </c>
      <c r="X49" s="141" t="s">
        <v>1729</v>
      </c>
      <c r="Y49" s="149" t="s">
        <v>1730</v>
      </c>
      <c r="Z49" s="141" t="s">
        <v>1729</v>
      </c>
      <c r="AA49" s="141" t="s">
        <v>1729</v>
      </c>
      <c r="AB49" s="141" t="s">
        <v>1729</v>
      </c>
      <c r="AC49" s="141" t="s">
        <v>1729</v>
      </c>
      <c r="AD49" s="141" t="s">
        <v>1729</v>
      </c>
      <c r="AE49" s="141" t="s">
        <v>1729</v>
      </c>
      <c r="AF49" s="149" t="s">
        <v>1730</v>
      </c>
      <c r="AG49" s="141" t="s">
        <v>1729</v>
      </c>
      <c r="AH49" s="141" t="s">
        <v>1729</v>
      </c>
      <c r="AI49" s="141" t="s">
        <v>1729</v>
      </c>
      <c r="AJ49" s="143">
        <v>27</v>
      </c>
    </row>
    <row r="50" spans="1:36" x14ac:dyDescent="0.25">
      <c r="A50" s="144">
        <v>46</v>
      </c>
      <c r="B50" s="142" t="s">
        <v>1824</v>
      </c>
      <c r="C50" s="142" t="s">
        <v>1429</v>
      </c>
      <c r="D50" s="141" t="s">
        <v>1825</v>
      </c>
      <c r="E50" s="155">
        <v>43047</v>
      </c>
      <c r="F50" s="141" t="s">
        <v>1780</v>
      </c>
      <c r="G50" s="141" t="s">
        <v>1812</v>
      </c>
      <c r="H50" s="141" t="s">
        <v>1729</v>
      </c>
      <c r="I50" s="141" t="s">
        <v>1729</v>
      </c>
      <c r="J50" s="141" t="s">
        <v>1729</v>
      </c>
      <c r="K50" s="149" t="s">
        <v>1730</v>
      </c>
      <c r="L50" s="141" t="s">
        <v>1729</v>
      </c>
      <c r="M50" s="141" t="s">
        <v>1729</v>
      </c>
      <c r="N50" s="141" t="s">
        <v>1729</v>
      </c>
      <c r="O50" s="141" t="s">
        <v>1729</v>
      </c>
      <c r="P50" s="141" t="s">
        <v>1734</v>
      </c>
      <c r="Q50" s="141" t="s">
        <v>1729</v>
      </c>
      <c r="R50" s="149" t="s">
        <v>1734</v>
      </c>
      <c r="S50" s="141" t="s">
        <v>1729</v>
      </c>
      <c r="T50" s="141" t="s">
        <v>1729</v>
      </c>
      <c r="U50" s="141" t="s">
        <v>1729</v>
      </c>
      <c r="V50" s="141" t="s">
        <v>1729</v>
      </c>
      <c r="W50" s="141" t="s">
        <v>1729</v>
      </c>
      <c r="X50" s="141" t="s">
        <v>1729</v>
      </c>
      <c r="Y50" s="149" t="s">
        <v>1730</v>
      </c>
      <c r="Z50" s="141" t="s">
        <v>1729</v>
      </c>
      <c r="AA50" s="141" t="s">
        <v>1729</v>
      </c>
      <c r="AB50" s="141" t="s">
        <v>1734</v>
      </c>
      <c r="AC50" s="141" t="s">
        <v>1734</v>
      </c>
      <c r="AD50" s="141" t="s">
        <v>1729</v>
      </c>
      <c r="AE50" s="141" t="s">
        <v>1729</v>
      </c>
      <c r="AF50" s="149" t="s">
        <v>1730</v>
      </c>
      <c r="AG50" s="141" t="s">
        <v>1729</v>
      </c>
      <c r="AH50" s="141" t="s">
        <v>1729</v>
      </c>
      <c r="AI50" s="141" t="s">
        <v>1729</v>
      </c>
      <c r="AJ50" s="143">
        <v>24</v>
      </c>
    </row>
    <row r="51" spans="1:36" x14ac:dyDescent="0.25">
      <c r="A51" s="144">
        <v>47</v>
      </c>
      <c r="B51" s="142" t="s">
        <v>1826</v>
      </c>
      <c r="C51" s="142" t="s">
        <v>598</v>
      </c>
      <c r="D51" s="141" t="s">
        <v>1827</v>
      </c>
      <c r="E51" s="155">
        <v>43009</v>
      </c>
      <c r="F51" s="141" t="s">
        <v>1780</v>
      </c>
      <c r="G51" s="141" t="s">
        <v>1812</v>
      </c>
      <c r="H51" s="141" t="s">
        <v>1729</v>
      </c>
      <c r="I51" s="141" t="s">
        <v>1734</v>
      </c>
      <c r="J51" s="141" t="s">
        <v>1734</v>
      </c>
      <c r="K51" s="149" t="s">
        <v>1730</v>
      </c>
      <c r="L51" s="141" t="s">
        <v>1729</v>
      </c>
      <c r="M51" s="141" t="s">
        <v>1729</v>
      </c>
      <c r="N51" s="141" t="s">
        <v>1729</v>
      </c>
      <c r="O51" s="141" t="s">
        <v>1729</v>
      </c>
      <c r="P51" s="141" t="s">
        <v>1729</v>
      </c>
      <c r="Q51" s="141" t="s">
        <v>1729</v>
      </c>
      <c r="R51" s="149" t="s">
        <v>1730</v>
      </c>
      <c r="S51" s="141" t="s">
        <v>1729</v>
      </c>
      <c r="T51" s="141" t="s">
        <v>1729</v>
      </c>
      <c r="U51" s="141" t="s">
        <v>1729</v>
      </c>
      <c r="V51" s="141" t="s">
        <v>1729</v>
      </c>
      <c r="W51" s="141" t="s">
        <v>1729</v>
      </c>
      <c r="X51" s="141" t="s">
        <v>1729</v>
      </c>
      <c r="Y51" s="149" t="s">
        <v>1730</v>
      </c>
      <c r="Z51" s="141" t="s">
        <v>1729</v>
      </c>
      <c r="AA51" s="141" t="s">
        <v>1729</v>
      </c>
      <c r="AB51" s="141" t="s">
        <v>1729</v>
      </c>
      <c r="AC51" s="141" t="s">
        <v>1729</v>
      </c>
      <c r="AD51" s="141" t="s">
        <v>1729</v>
      </c>
      <c r="AE51" s="141" t="s">
        <v>1729</v>
      </c>
      <c r="AF51" s="149" t="s">
        <v>1730</v>
      </c>
      <c r="AG51" s="141" t="s">
        <v>1729</v>
      </c>
      <c r="AH51" s="141" t="s">
        <v>1729</v>
      </c>
      <c r="AI51" s="141" t="s">
        <v>1729</v>
      </c>
      <c r="AJ51" s="143">
        <v>26</v>
      </c>
    </row>
    <row r="52" spans="1:36" x14ac:dyDescent="0.25">
      <c r="A52" s="144">
        <v>48</v>
      </c>
      <c r="B52" s="142" t="s">
        <v>1828</v>
      </c>
      <c r="C52" s="142" t="s">
        <v>1433</v>
      </c>
      <c r="D52" s="141" t="s">
        <v>1829</v>
      </c>
      <c r="E52" s="155">
        <v>43063</v>
      </c>
      <c r="F52" s="141" t="s">
        <v>1780</v>
      </c>
      <c r="G52" s="141" t="s">
        <v>1733</v>
      </c>
      <c r="H52" s="141" t="s">
        <v>1729</v>
      </c>
      <c r="I52" s="141" t="s">
        <v>1729</v>
      </c>
      <c r="J52" s="141" t="s">
        <v>1729</v>
      </c>
      <c r="K52" s="149" t="s">
        <v>1730</v>
      </c>
      <c r="L52" s="141" t="s">
        <v>1729</v>
      </c>
      <c r="M52" s="141" t="s">
        <v>1729</v>
      </c>
      <c r="N52" s="141" t="s">
        <v>1729</v>
      </c>
      <c r="O52" s="141" t="s">
        <v>1729</v>
      </c>
      <c r="P52" s="141" t="s">
        <v>1729</v>
      </c>
      <c r="Q52" s="141" t="s">
        <v>1729</v>
      </c>
      <c r="R52" s="149" t="s">
        <v>1730</v>
      </c>
      <c r="S52" s="141" t="s">
        <v>1729</v>
      </c>
      <c r="T52" s="141" t="s">
        <v>1734</v>
      </c>
      <c r="U52" s="141" t="s">
        <v>1729</v>
      </c>
      <c r="V52" s="141" t="s">
        <v>1729</v>
      </c>
      <c r="W52" s="141" t="s">
        <v>1729</v>
      </c>
      <c r="X52" s="141" t="s">
        <v>1729</v>
      </c>
      <c r="Y52" s="149" t="s">
        <v>1730</v>
      </c>
      <c r="Z52" s="141" t="s">
        <v>1729</v>
      </c>
      <c r="AA52" s="141" t="s">
        <v>1729</v>
      </c>
      <c r="AB52" s="141" t="s">
        <v>1729</v>
      </c>
      <c r="AC52" s="141" t="s">
        <v>1729</v>
      </c>
      <c r="AD52" s="141" t="s">
        <v>1729</v>
      </c>
      <c r="AE52" s="141" t="s">
        <v>1734</v>
      </c>
      <c r="AF52" s="149" t="s">
        <v>1730</v>
      </c>
      <c r="AG52" s="141" t="s">
        <v>1729</v>
      </c>
      <c r="AH52" s="141" t="s">
        <v>1729</v>
      </c>
      <c r="AI52" s="141" t="s">
        <v>1729</v>
      </c>
      <c r="AJ52" s="143">
        <v>26</v>
      </c>
    </row>
    <row r="53" spans="1:36" x14ac:dyDescent="0.25">
      <c r="A53" s="144">
        <v>49</v>
      </c>
      <c r="B53" s="142" t="s">
        <v>1830</v>
      </c>
      <c r="C53" s="142" t="s">
        <v>1446</v>
      </c>
      <c r="D53" s="141" t="s">
        <v>1831</v>
      </c>
      <c r="E53" s="155">
        <v>43060</v>
      </c>
      <c r="F53" s="141" t="s">
        <v>1780</v>
      </c>
      <c r="G53" s="141" t="s">
        <v>1742</v>
      </c>
      <c r="H53" s="141" t="s">
        <v>1729</v>
      </c>
      <c r="I53" s="141" t="s">
        <v>1729</v>
      </c>
      <c r="J53" s="141" t="s">
        <v>1729</v>
      </c>
      <c r="K53" s="149" t="s">
        <v>1730</v>
      </c>
      <c r="L53" s="141" t="s">
        <v>1729</v>
      </c>
      <c r="M53" s="141" t="s">
        <v>1729</v>
      </c>
      <c r="N53" s="141" t="s">
        <v>1729</v>
      </c>
      <c r="O53" s="141" t="s">
        <v>1729</v>
      </c>
      <c r="P53" s="141" t="s">
        <v>1729</v>
      </c>
      <c r="Q53" s="141" t="s">
        <v>1729</v>
      </c>
      <c r="R53" s="149" t="s">
        <v>1730</v>
      </c>
      <c r="S53" s="141" t="s">
        <v>1729</v>
      </c>
      <c r="T53" s="141" t="s">
        <v>1734</v>
      </c>
      <c r="U53" s="141" t="s">
        <v>1729</v>
      </c>
      <c r="V53" s="141" t="s">
        <v>1729</v>
      </c>
      <c r="W53" s="141" t="s">
        <v>1729</v>
      </c>
      <c r="X53" s="141" t="s">
        <v>1729</v>
      </c>
      <c r="Y53" s="149" t="s">
        <v>1730</v>
      </c>
      <c r="Z53" s="141" t="s">
        <v>1729</v>
      </c>
      <c r="AA53" s="141" t="s">
        <v>1729</v>
      </c>
      <c r="AB53" s="141" t="s">
        <v>1729</v>
      </c>
      <c r="AC53" s="141" t="s">
        <v>1729</v>
      </c>
      <c r="AD53" s="141" t="s">
        <v>1729</v>
      </c>
      <c r="AE53" s="141" t="s">
        <v>1729</v>
      </c>
      <c r="AF53" s="149" t="s">
        <v>1730</v>
      </c>
      <c r="AG53" s="141" t="s">
        <v>1734</v>
      </c>
      <c r="AH53" s="141" t="s">
        <v>1729</v>
      </c>
      <c r="AI53" s="141" t="s">
        <v>1729</v>
      </c>
      <c r="AJ53" s="143">
        <v>26</v>
      </c>
    </row>
    <row r="54" spans="1:36" x14ac:dyDescent="0.25">
      <c r="A54" s="144">
        <v>50</v>
      </c>
      <c r="B54" s="142" t="s">
        <v>1832</v>
      </c>
      <c r="C54" s="142" t="s">
        <v>604</v>
      </c>
      <c r="D54" s="141" t="s">
        <v>1833</v>
      </c>
      <c r="E54" s="155">
        <v>43009</v>
      </c>
      <c r="F54" s="141" t="s">
        <v>1780</v>
      </c>
      <c r="G54" s="141" t="s">
        <v>1733</v>
      </c>
      <c r="H54" s="141" t="s">
        <v>1729</v>
      </c>
      <c r="I54" s="141" t="s">
        <v>1729</v>
      </c>
      <c r="J54" s="141" t="s">
        <v>1729</v>
      </c>
      <c r="K54" s="149" t="s">
        <v>1730</v>
      </c>
      <c r="L54" s="141" t="s">
        <v>1734</v>
      </c>
      <c r="M54" s="141" t="s">
        <v>1734</v>
      </c>
      <c r="N54" s="141" t="s">
        <v>1729</v>
      </c>
      <c r="O54" s="141" t="s">
        <v>1729</v>
      </c>
      <c r="P54" s="141" t="s">
        <v>1729</v>
      </c>
      <c r="Q54" s="141" t="s">
        <v>1729</v>
      </c>
      <c r="R54" s="149" t="s">
        <v>1730</v>
      </c>
      <c r="S54" s="141" t="s">
        <v>1729</v>
      </c>
      <c r="T54" s="141" t="s">
        <v>1729</v>
      </c>
      <c r="U54" s="141" t="s">
        <v>1729</v>
      </c>
      <c r="V54" s="141" t="s">
        <v>1729</v>
      </c>
      <c r="W54" s="141" t="s">
        <v>1729</v>
      </c>
      <c r="X54" s="141" t="s">
        <v>1734</v>
      </c>
      <c r="Y54" s="149" t="s">
        <v>1730</v>
      </c>
      <c r="Z54" s="141" t="s">
        <v>1734</v>
      </c>
      <c r="AA54" s="141" t="s">
        <v>1729</v>
      </c>
      <c r="AB54" s="141" t="s">
        <v>1729</v>
      </c>
      <c r="AC54" s="141" t="s">
        <v>1729</v>
      </c>
      <c r="AD54" s="141" t="s">
        <v>1729</v>
      </c>
      <c r="AE54" s="141" t="s">
        <v>1729</v>
      </c>
      <c r="AF54" s="149" t="s">
        <v>1730</v>
      </c>
      <c r="AG54" s="141" t="s">
        <v>1729</v>
      </c>
      <c r="AH54" s="141" t="s">
        <v>1729</v>
      </c>
      <c r="AI54" s="141" t="s">
        <v>1729</v>
      </c>
      <c r="AJ54" s="143">
        <v>24</v>
      </c>
    </row>
    <row r="55" spans="1:36" x14ac:dyDescent="0.25">
      <c r="A55" s="144">
        <v>51</v>
      </c>
      <c r="B55" s="142" t="s">
        <v>1834</v>
      </c>
      <c r="C55" s="142" t="s">
        <v>1098</v>
      </c>
      <c r="D55" s="141" t="s">
        <v>1835</v>
      </c>
      <c r="E55" s="155">
        <v>43009</v>
      </c>
      <c r="F55" s="141" t="s">
        <v>1780</v>
      </c>
      <c r="G55" s="141" t="s">
        <v>1812</v>
      </c>
      <c r="H55" s="141" t="s">
        <v>1729</v>
      </c>
      <c r="I55" s="141" t="s">
        <v>1729</v>
      </c>
      <c r="J55" s="141" t="s">
        <v>1729</v>
      </c>
      <c r="K55" s="149" t="s">
        <v>1730</v>
      </c>
      <c r="L55" s="141" t="s">
        <v>1729</v>
      </c>
      <c r="M55" s="141" t="s">
        <v>1734</v>
      </c>
      <c r="N55" s="141" t="s">
        <v>1729</v>
      </c>
      <c r="O55" s="141" t="s">
        <v>1729</v>
      </c>
      <c r="P55" s="141" t="s">
        <v>1729</v>
      </c>
      <c r="Q55" s="141" t="s">
        <v>1729</v>
      </c>
      <c r="R55" s="149" t="s">
        <v>1730</v>
      </c>
      <c r="S55" s="141" t="s">
        <v>1729</v>
      </c>
      <c r="T55" s="141" t="s">
        <v>1729</v>
      </c>
      <c r="U55" s="141" t="s">
        <v>1729</v>
      </c>
      <c r="V55" s="141" t="s">
        <v>1734</v>
      </c>
      <c r="W55" s="141" t="s">
        <v>1729</v>
      </c>
      <c r="X55" s="141" t="s">
        <v>1729</v>
      </c>
      <c r="Y55" s="149" t="s">
        <v>1730</v>
      </c>
      <c r="Z55" s="141" t="s">
        <v>1729</v>
      </c>
      <c r="AA55" s="141" t="s">
        <v>1729</v>
      </c>
      <c r="AB55" s="141" t="s">
        <v>1729</v>
      </c>
      <c r="AC55" s="141" t="s">
        <v>1729</v>
      </c>
      <c r="AD55" s="141" t="s">
        <v>1729</v>
      </c>
      <c r="AE55" s="141" t="s">
        <v>1729</v>
      </c>
      <c r="AF55" s="149" t="s">
        <v>1730</v>
      </c>
      <c r="AG55" s="141" t="s">
        <v>1729</v>
      </c>
      <c r="AH55" s="141" t="s">
        <v>1729</v>
      </c>
      <c r="AI55" s="141" t="s">
        <v>1729</v>
      </c>
      <c r="AJ55" s="143">
        <v>26</v>
      </c>
    </row>
    <row r="56" spans="1:36" x14ac:dyDescent="0.25">
      <c r="A56" s="144">
        <v>52</v>
      </c>
      <c r="B56" s="142" t="s">
        <v>1836</v>
      </c>
      <c r="C56" s="142" t="s">
        <v>92</v>
      </c>
      <c r="D56" s="141" t="s">
        <v>1837</v>
      </c>
      <c r="E56" s="155">
        <v>43009</v>
      </c>
      <c r="F56" s="141" t="s">
        <v>1838</v>
      </c>
      <c r="G56" s="141" t="s">
        <v>1742</v>
      </c>
      <c r="H56" s="141" t="s">
        <v>1729</v>
      </c>
      <c r="I56" s="141" t="s">
        <v>1729</v>
      </c>
      <c r="J56" s="141" t="s">
        <v>1729</v>
      </c>
      <c r="K56" s="149" t="s">
        <v>1730</v>
      </c>
      <c r="L56" s="141" t="s">
        <v>1729</v>
      </c>
      <c r="M56" s="141" t="s">
        <v>1729</v>
      </c>
      <c r="N56" s="141" t="s">
        <v>1729</v>
      </c>
      <c r="O56" s="141" t="s">
        <v>1729</v>
      </c>
      <c r="P56" s="141" t="s">
        <v>1729</v>
      </c>
      <c r="Q56" s="141" t="s">
        <v>1729</v>
      </c>
      <c r="R56" s="149" t="s">
        <v>1730</v>
      </c>
      <c r="S56" s="141" t="s">
        <v>1729</v>
      </c>
      <c r="T56" s="141" t="s">
        <v>1729</v>
      </c>
      <c r="U56" s="141" t="s">
        <v>1729</v>
      </c>
      <c r="V56" s="141" t="s">
        <v>1734</v>
      </c>
      <c r="W56" s="141" t="s">
        <v>1729</v>
      </c>
      <c r="X56" s="141" t="s">
        <v>1729</v>
      </c>
      <c r="Y56" s="149" t="s">
        <v>1730</v>
      </c>
      <c r="Z56" s="141" t="s">
        <v>1734</v>
      </c>
      <c r="AA56" s="141" t="s">
        <v>1729</v>
      </c>
      <c r="AB56" s="141" t="s">
        <v>1729</v>
      </c>
      <c r="AC56" s="141" t="s">
        <v>1729</v>
      </c>
      <c r="AD56" s="141" t="s">
        <v>1729</v>
      </c>
      <c r="AE56" s="141" t="s">
        <v>1729</v>
      </c>
      <c r="AF56" s="149" t="s">
        <v>1730</v>
      </c>
      <c r="AG56" s="141" t="s">
        <v>1729</v>
      </c>
      <c r="AH56" s="141" t="s">
        <v>1729</v>
      </c>
      <c r="AI56" s="141" t="s">
        <v>1729</v>
      </c>
      <c r="AJ56" s="143">
        <v>26</v>
      </c>
    </row>
    <row r="57" spans="1:36" x14ac:dyDescent="0.25">
      <c r="A57" s="144">
        <v>53</v>
      </c>
      <c r="B57" s="142" t="s">
        <v>1839</v>
      </c>
      <c r="C57" s="142" t="s">
        <v>420</v>
      </c>
      <c r="D57" s="141" t="s">
        <v>1840</v>
      </c>
      <c r="E57" s="155">
        <v>43009</v>
      </c>
      <c r="F57" s="141" t="s">
        <v>1838</v>
      </c>
      <c r="G57" s="141" t="s">
        <v>1742</v>
      </c>
      <c r="H57" s="141" t="s">
        <v>1729</v>
      </c>
      <c r="I57" s="141" t="s">
        <v>1729</v>
      </c>
      <c r="J57" s="141" t="s">
        <v>1729</v>
      </c>
      <c r="K57" s="149" t="s">
        <v>1730</v>
      </c>
      <c r="L57" s="141" t="s">
        <v>1729</v>
      </c>
      <c r="M57" s="141" t="s">
        <v>1729</v>
      </c>
      <c r="N57" s="141" t="s">
        <v>1729</v>
      </c>
      <c r="O57" s="141" t="s">
        <v>1729</v>
      </c>
      <c r="P57" s="141" t="s">
        <v>1729</v>
      </c>
      <c r="Q57" s="141" t="s">
        <v>1729</v>
      </c>
      <c r="R57" s="149" t="s">
        <v>1730</v>
      </c>
      <c r="S57" s="141" t="s">
        <v>1729</v>
      </c>
      <c r="T57" s="141" t="s">
        <v>1729</v>
      </c>
      <c r="U57" s="141" t="s">
        <v>1729</v>
      </c>
      <c r="V57" s="141" t="s">
        <v>1729</v>
      </c>
      <c r="W57" s="141" t="s">
        <v>1729</v>
      </c>
      <c r="X57" s="141" t="s">
        <v>1729</v>
      </c>
      <c r="Y57" s="149" t="s">
        <v>1730</v>
      </c>
      <c r="Z57" s="141" t="s">
        <v>1729</v>
      </c>
      <c r="AA57" s="141" t="s">
        <v>1729</v>
      </c>
      <c r="AB57" s="141" t="s">
        <v>1729</v>
      </c>
      <c r="AC57" s="141" t="s">
        <v>1729</v>
      </c>
      <c r="AD57" s="141" t="s">
        <v>1729</v>
      </c>
      <c r="AE57" s="141" t="s">
        <v>1729</v>
      </c>
      <c r="AF57" s="149" t="s">
        <v>1730</v>
      </c>
      <c r="AG57" s="141" t="s">
        <v>1729</v>
      </c>
      <c r="AH57" s="141" t="s">
        <v>1729</v>
      </c>
      <c r="AI57" s="141" t="s">
        <v>1729</v>
      </c>
      <c r="AJ57" s="143">
        <v>28</v>
      </c>
    </row>
    <row r="58" spans="1:36" x14ac:dyDescent="0.25">
      <c r="A58" s="144">
        <v>54</v>
      </c>
      <c r="B58" s="142" t="s">
        <v>1841</v>
      </c>
      <c r="C58" s="142" t="s">
        <v>141</v>
      </c>
      <c r="D58" s="141" t="s">
        <v>1842</v>
      </c>
      <c r="E58" s="155">
        <v>43009</v>
      </c>
      <c r="F58" s="141" t="s">
        <v>1838</v>
      </c>
      <c r="G58" s="141" t="s">
        <v>1742</v>
      </c>
      <c r="H58" s="141" t="s">
        <v>1729</v>
      </c>
      <c r="I58" s="141" t="s">
        <v>1729</v>
      </c>
      <c r="J58" s="141" t="s">
        <v>1729</v>
      </c>
      <c r="K58" s="149" t="s">
        <v>1730</v>
      </c>
      <c r="L58" s="141" t="s">
        <v>1729</v>
      </c>
      <c r="M58" s="141" t="s">
        <v>1729</v>
      </c>
      <c r="N58" s="141" t="s">
        <v>1729</v>
      </c>
      <c r="O58" s="141" t="s">
        <v>1729</v>
      </c>
      <c r="P58" s="141" t="s">
        <v>1729</v>
      </c>
      <c r="Q58" s="141" t="s">
        <v>1729</v>
      </c>
      <c r="R58" s="149" t="s">
        <v>1730</v>
      </c>
      <c r="S58" s="141" t="s">
        <v>1729</v>
      </c>
      <c r="T58" s="141" t="s">
        <v>1729</v>
      </c>
      <c r="U58" s="141" t="s">
        <v>1729</v>
      </c>
      <c r="V58" s="141" t="s">
        <v>1729</v>
      </c>
      <c r="W58" s="141" t="s">
        <v>1729</v>
      </c>
      <c r="X58" s="141" t="s">
        <v>1729</v>
      </c>
      <c r="Y58" s="149" t="s">
        <v>1730</v>
      </c>
      <c r="Z58" s="141" t="s">
        <v>1729</v>
      </c>
      <c r="AA58" s="141" t="s">
        <v>1729</v>
      </c>
      <c r="AB58" s="141" t="s">
        <v>1729</v>
      </c>
      <c r="AC58" s="141" t="s">
        <v>1729</v>
      </c>
      <c r="AD58" s="141" t="s">
        <v>1729</v>
      </c>
      <c r="AE58" s="141" t="s">
        <v>1734</v>
      </c>
      <c r="AF58" s="149" t="s">
        <v>1734</v>
      </c>
      <c r="AG58" s="141" t="s">
        <v>1734</v>
      </c>
      <c r="AH58" s="141" t="s">
        <v>1734</v>
      </c>
      <c r="AI58" s="141" t="s">
        <v>1734</v>
      </c>
      <c r="AJ58" s="143">
        <v>23</v>
      </c>
    </row>
    <row r="59" spans="1:36" x14ac:dyDescent="0.25">
      <c r="A59" s="144">
        <v>55</v>
      </c>
      <c r="B59" s="142" t="s">
        <v>1843</v>
      </c>
      <c r="C59" s="142" t="s">
        <v>269</v>
      </c>
      <c r="D59" s="141" t="s">
        <v>1844</v>
      </c>
      <c r="E59" s="155">
        <v>43009</v>
      </c>
      <c r="F59" s="141" t="s">
        <v>1714</v>
      </c>
      <c r="G59" s="141" t="s">
        <v>1742</v>
      </c>
      <c r="H59" s="141" t="s">
        <v>1729</v>
      </c>
      <c r="I59" s="141" t="s">
        <v>1729</v>
      </c>
      <c r="J59" s="141" t="s">
        <v>1729</v>
      </c>
      <c r="K59" s="149" t="s">
        <v>1730</v>
      </c>
      <c r="L59" s="141" t="s">
        <v>1734</v>
      </c>
      <c r="M59" s="141" t="s">
        <v>1729</v>
      </c>
      <c r="N59" s="141" t="s">
        <v>1729</v>
      </c>
      <c r="O59" s="141" t="s">
        <v>1729</v>
      </c>
      <c r="P59" s="141" t="s">
        <v>1729</v>
      </c>
      <c r="Q59" s="141" t="s">
        <v>1729</v>
      </c>
      <c r="R59" s="149" t="s">
        <v>1730</v>
      </c>
      <c r="S59" s="141" t="s">
        <v>1729</v>
      </c>
      <c r="T59" s="141" t="s">
        <v>1729</v>
      </c>
      <c r="U59" s="141" t="s">
        <v>1729</v>
      </c>
      <c r="V59" s="141" t="s">
        <v>1734</v>
      </c>
      <c r="W59" s="141" t="s">
        <v>1729</v>
      </c>
      <c r="X59" s="141" t="s">
        <v>1729</v>
      </c>
      <c r="Y59" s="149" t="s">
        <v>1730</v>
      </c>
      <c r="Z59" s="141" t="s">
        <v>1729</v>
      </c>
      <c r="AA59" s="141" t="s">
        <v>1729</v>
      </c>
      <c r="AB59" s="141" t="s">
        <v>1729</v>
      </c>
      <c r="AC59" s="141" t="s">
        <v>1729</v>
      </c>
      <c r="AD59" s="141" t="s">
        <v>1729</v>
      </c>
      <c r="AE59" s="141" t="s">
        <v>1729</v>
      </c>
      <c r="AF59" s="149" t="s">
        <v>1730</v>
      </c>
      <c r="AG59" s="141" t="s">
        <v>1729</v>
      </c>
      <c r="AH59" s="141" t="s">
        <v>1729</v>
      </c>
      <c r="AI59" s="141" t="s">
        <v>1729</v>
      </c>
      <c r="AJ59" s="143">
        <v>26</v>
      </c>
    </row>
    <row r="60" spans="1:36" x14ac:dyDescent="0.25">
      <c r="A60" s="144">
        <v>56</v>
      </c>
      <c r="B60" s="142" t="s">
        <v>1845</v>
      </c>
      <c r="C60" s="142" t="s">
        <v>186</v>
      </c>
      <c r="D60" s="141" t="s">
        <v>1846</v>
      </c>
      <c r="E60" s="155">
        <v>43009</v>
      </c>
      <c r="F60" s="141" t="s">
        <v>1714</v>
      </c>
      <c r="G60" s="141" t="s">
        <v>1742</v>
      </c>
      <c r="H60" s="141" t="s">
        <v>1729</v>
      </c>
      <c r="I60" s="141" t="s">
        <v>1729</v>
      </c>
      <c r="J60" s="141" t="s">
        <v>1729</v>
      </c>
      <c r="K60" s="149" t="s">
        <v>1730</v>
      </c>
      <c r="L60" s="141" t="s">
        <v>1729</v>
      </c>
      <c r="M60" s="141" t="s">
        <v>1729</v>
      </c>
      <c r="N60" s="141" t="s">
        <v>1729</v>
      </c>
      <c r="O60" s="141" t="s">
        <v>1734</v>
      </c>
      <c r="P60" s="141" t="s">
        <v>1729</v>
      </c>
      <c r="Q60" s="141" t="s">
        <v>1729</v>
      </c>
      <c r="R60" s="149" t="s">
        <v>1730</v>
      </c>
      <c r="S60" s="141" t="s">
        <v>1729</v>
      </c>
      <c r="T60" s="141" t="s">
        <v>1729</v>
      </c>
      <c r="U60" s="141" t="s">
        <v>1729</v>
      </c>
      <c r="V60" s="141" t="s">
        <v>1729</v>
      </c>
      <c r="W60" s="141" t="s">
        <v>1729</v>
      </c>
      <c r="X60" s="141" t="s">
        <v>1729</v>
      </c>
      <c r="Y60" s="149" t="s">
        <v>1730</v>
      </c>
      <c r="Z60" s="141" t="s">
        <v>1729</v>
      </c>
      <c r="AA60" s="141" t="s">
        <v>1729</v>
      </c>
      <c r="AB60" s="141" t="s">
        <v>1729</v>
      </c>
      <c r="AC60" s="141" t="s">
        <v>1729</v>
      </c>
      <c r="AD60" s="141" t="s">
        <v>1729</v>
      </c>
      <c r="AE60" s="141" t="s">
        <v>1729</v>
      </c>
      <c r="AF60" s="149" t="s">
        <v>1730</v>
      </c>
      <c r="AG60" s="141" t="s">
        <v>1729</v>
      </c>
      <c r="AH60" s="141" t="s">
        <v>1729</v>
      </c>
      <c r="AI60" s="141" t="s">
        <v>1729</v>
      </c>
      <c r="AJ60" s="143">
        <v>27</v>
      </c>
    </row>
    <row r="61" spans="1:36" x14ac:dyDescent="0.25">
      <c r="A61" s="144">
        <v>57</v>
      </c>
      <c r="B61" s="142" t="s">
        <v>1847</v>
      </c>
      <c r="C61" s="142" t="s">
        <v>817</v>
      </c>
      <c r="D61" s="141" t="s">
        <v>1848</v>
      </c>
      <c r="E61" s="155">
        <v>43009</v>
      </c>
      <c r="F61" s="141" t="s">
        <v>1714</v>
      </c>
      <c r="G61" s="141" t="s">
        <v>1742</v>
      </c>
      <c r="H61" s="141" t="s">
        <v>1729</v>
      </c>
      <c r="I61" s="141" t="s">
        <v>1734</v>
      </c>
      <c r="J61" s="141" t="s">
        <v>1729</v>
      </c>
      <c r="K61" s="149" t="s">
        <v>1730</v>
      </c>
      <c r="L61" s="141" t="s">
        <v>1729</v>
      </c>
      <c r="M61" s="141" t="s">
        <v>1729</v>
      </c>
      <c r="N61" s="141" t="s">
        <v>1729</v>
      </c>
      <c r="O61" s="141" t="s">
        <v>1729</v>
      </c>
      <c r="P61" s="141" t="s">
        <v>1729</v>
      </c>
      <c r="Q61" s="141" t="s">
        <v>1729</v>
      </c>
      <c r="R61" s="149" t="s">
        <v>1730</v>
      </c>
      <c r="S61" s="141" t="s">
        <v>1729</v>
      </c>
      <c r="T61" s="141" t="s">
        <v>1729</v>
      </c>
      <c r="U61" s="141" t="s">
        <v>1729</v>
      </c>
      <c r="V61" s="141" t="s">
        <v>1729</v>
      </c>
      <c r="W61" s="141" t="s">
        <v>1729</v>
      </c>
      <c r="X61" s="141" t="s">
        <v>1729</v>
      </c>
      <c r="Y61" s="149" t="s">
        <v>1730</v>
      </c>
      <c r="Z61" s="141" t="s">
        <v>1729</v>
      </c>
      <c r="AA61" s="141" t="s">
        <v>1729</v>
      </c>
      <c r="AB61" s="141" t="s">
        <v>1729</v>
      </c>
      <c r="AC61" s="141" t="s">
        <v>1729</v>
      </c>
      <c r="AD61" s="141" t="s">
        <v>1729</v>
      </c>
      <c r="AE61" s="141" t="s">
        <v>1729</v>
      </c>
      <c r="AF61" s="149" t="s">
        <v>1730</v>
      </c>
      <c r="AG61" s="141" t="s">
        <v>1729</v>
      </c>
      <c r="AH61" s="141" t="s">
        <v>1729</v>
      </c>
      <c r="AI61" s="141" t="s">
        <v>1729</v>
      </c>
      <c r="AJ61" s="143">
        <v>27</v>
      </c>
    </row>
    <row r="62" spans="1:36" x14ac:dyDescent="0.25">
      <c r="A62" s="144">
        <v>58</v>
      </c>
      <c r="B62" s="142" t="s">
        <v>1849</v>
      </c>
      <c r="C62" s="142" t="s">
        <v>1447</v>
      </c>
      <c r="D62" s="141" t="s">
        <v>1850</v>
      </c>
      <c r="E62" s="155">
        <v>43009</v>
      </c>
      <c r="F62" s="141" t="s">
        <v>1714</v>
      </c>
      <c r="G62" s="141" t="s">
        <v>1812</v>
      </c>
      <c r="H62" s="141" t="s">
        <v>1729</v>
      </c>
      <c r="I62" s="141" t="s">
        <v>1734</v>
      </c>
      <c r="J62" s="141" t="s">
        <v>1729</v>
      </c>
      <c r="K62" s="149" t="s">
        <v>1730</v>
      </c>
      <c r="L62" s="141" t="s">
        <v>1729</v>
      </c>
      <c r="M62" s="141" t="s">
        <v>1729</v>
      </c>
      <c r="N62" s="141" t="s">
        <v>1729</v>
      </c>
      <c r="O62" s="141" t="s">
        <v>1729</v>
      </c>
      <c r="P62" s="141" t="s">
        <v>1729</v>
      </c>
      <c r="Q62" s="141" t="s">
        <v>1729</v>
      </c>
      <c r="R62" s="149" t="s">
        <v>1730</v>
      </c>
      <c r="S62" s="141" t="s">
        <v>1729</v>
      </c>
      <c r="T62" s="141" t="s">
        <v>1729</v>
      </c>
      <c r="U62" s="141" t="s">
        <v>1729</v>
      </c>
      <c r="V62" s="141" t="s">
        <v>1729</v>
      </c>
      <c r="W62" s="141" t="s">
        <v>1729</v>
      </c>
      <c r="X62" s="141" t="s">
        <v>1729</v>
      </c>
      <c r="Y62" s="149" t="s">
        <v>1730</v>
      </c>
      <c r="Z62" s="141" t="s">
        <v>1729</v>
      </c>
      <c r="AA62" s="141" t="s">
        <v>1729</v>
      </c>
      <c r="AB62" s="141" t="s">
        <v>1729</v>
      </c>
      <c r="AC62" s="141" t="s">
        <v>1729</v>
      </c>
      <c r="AD62" s="141" t="s">
        <v>1729</v>
      </c>
      <c r="AE62" s="141" t="s">
        <v>1729</v>
      </c>
      <c r="AF62" s="149" t="s">
        <v>1730</v>
      </c>
      <c r="AG62" s="141" t="s">
        <v>1729</v>
      </c>
      <c r="AH62" s="141" t="s">
        <v>1729</v>
      </c>
      <c r="AI62" s="141" t="s">
        <v>1729</v>
      </c>
      <c r="AJ62" s="143">
        <v>27</v>
      </c>
    </row>
    <row r="63" spans="1:36" x14ac:dyDescent="0.25">
      <c r="A63" s="144">
        <v>59</v>
      </c>
      <c r="B63" s="142" t="s">
        <v>1851</v>
      </c>
      <c r="C63" s="142" t="s">
        <v>1114</v>
      </c>
      <c r="D63" s="141" t="s">
        <v>1852</v>
      </c>
      <c r="E63" s="155">
        <v>43009</v>
      </c>
      <c r="F63" s="141" t="s">
        <v>1714</v>
      </c>
      <c r="G63" s="141" t="s">
        <v>1742</v>
      </c>
      <c r="H63" s="141" t="s">
        <v>1729</v>
      </c>
      <c r="I63" s="141" t="s">
        <v>1729</v>
      </c>
      <c r="J63" s="141" t="s">
        <v>1729</v>
      </c>
      <c r="K63" s="149" t="s">
        <v>1730</v>
      </c>
      <c r="L63" s="141" t="s">
        <v>1729</v>
      </c>
      <c r="M63" s="141" t="s">
        <v>1729</v>
      </c>
      <c r="N63" s="141" t="s">
        <v>1734</v>
      </c>
      <c r="O63" s="141" t="s">
        <v>1729</v>
      </c>
      <c r="P63" s="141" t="s">
        <v>1729</v>
      </c>
      <c r="Q63" s="141" t="s">
        <v>1729</v>
      </c>
      <c r="R63" s="149" t="s">
        <v>1730</v>
      </c>
      <c r="S63" s="141" t="s">
        <v>1729</v>
      </c>
      <c r="T63" s="141" t="s">
        <v>1729</v>
      </c>
      <c r="U63" s="141" t="s">
        <v>1729</v>
      </c>
      <c r="V63" s="141" t="s">
        <v>1729</v>
      </c>
      <c r="W63" s="141" t="s">
        <v>1729</v>
      </c>
      <c r="X63" s="141" t="s">
        <v>1729</v>
      </c>
      <c r="Y63" s="149" t="s">
        <v>1730</v>
      </c>
      <c r="Z63" s="141" t="s">
        <v>1729</v>
      </c>
      <c r="AA63" s="141" t="s">
        <v>1729</v>
      </c>
      <c r="AB63" s="141" t="s">
        <v>1729</v>
      </c>
      <c r="AC63" s="141" t="s">
        <v>1734</v>
      </c>
      <c r="AD63" s="141" t="s">
        <v>1734</v>
      </c>
      <c r="AE63" s="141" t="s">
        <v>1734</v>
      </c>
      <c r="AF63" s="149" t="s">
        <v>1734</v>
      </c>
      <c r="AG63" s="141" t="s">
        <v>1734</v>
      </c>
      <c r="AH63" s="141" t="s">
        <v>1734</v>
      </c>
      <c r="AI63" s="141" t="s">
        <v>1734</v>
      </c>
      <c r="AJ63" s="143">
        <v>20</v>
      </c>
    </row>
    <row r="64" spans="1:36" x14ac:dyDescent="0.25">
      <c r="A64" s="144">
        <v>60</v>
      </c>
      <c r="B64" s="142" t="s">
        <v>1853</v>
      </c>
      <c r="C64" s="142" t="s">
        <v>1115</v>
      </c>
      <c r="D64" s="141" t="s">
        <v>1854</v>
      </c>
      <c r="E64" s="155">
        <v>43009</v>
      </c>
      <c r="F64" s="141" t="s">
        <v>1714</v>
      </c>
      <c r="G64" s="141" t="s">
        <v>1742</v>
      </c>
      <c r="H64" s="141" t="s">
        <v>1729</v>
      </c>
      <c r="I64" s="141" t="s">
        <v>1729</v>
      </c>
      <c r="J64" s="141" t="s">
        <v>1729</v>
      </c>
      <c r="K64" s="149" t="s">
        <v>1730</v>
      </c>
      <c r="L64" s="141" t="s">
        <v>1729</v>
      </c>
      <c r="M64" s="141" t="s">
        <v>1729</v>
      </c>
      <c r="N64" s="141" t="s">
        <v>1729</v>
      </c>
      <c r="O64" s="141" t="s">
        <v>1729</v>
      </c>
      <c r="P64" s="141" t="s">
        <v>1729</v>
      </c>
      <c r="Q64" s="141" t="s">
        <v>1729</v>
      </c>
      <c r="R64" s="149" t="s">
        <v>1730</v>
      </c>
      <c r="S64" s="141" t="s">
        <v>1729</v>
      </c>
      <c r="T64" s="141" t="s">
        <v>1729</v>
      </c>
      <c r="U64" s="141" t="s">
        <v>1729</v>
      </c>
      <c r="V64" s="141" t="s">
        <v>1729</v>
      </c>
      <c r="W64" s="141" t="s">
        <v>1729</v>
      </c>
      <c r="X64" s="141" t="s">
        <v>1734</v>
      </c>
      <c r="Y64" s="149" t="s">
        <v>1730</v>
      </c>
      <c r="Z64" s="141" t="s">
        <v>1729</v>
      </c>
      <c r="AA64" s="141" t="s">
        <v>1729</v>
      </c>
      <c r="AB64" s="141" t="s">
        <v>1729</v>
      </c>
      <c r="AC64" s="141" t="s">
        <v>1729</v>
      </c>
      <c r="AD64" s="141" t="s">
        <v>1729</v>
      </c>
      <c r="AE64" s="141" t="s">
        <v>1734</v>
      </c>
      <c r="AF64" s="149" t="s">
        <v>1730</v>
      </c>
      <c r="AG64" s="141" t="s">
        <v>1729</v>
      </c>
      <c r="AH64" s="141" t="s">
        <v>1734</v>
      </c>
      <c r="AI64" s="141" t="s">
        <v>1729</v>
      </c>
      <c r="AJ64" s="143">
        <v>25</v>
      </c>
    </row>
    <row r="65" spans="1:36" x14ac:dyDescent="0.25">
      <c r="A65" s="144">
        <v>61</v>
      </c>
      <c r="B65" s="142" t="s">
        <v>1855</v>
      </c>
      <c r="C65" s="142" t="s">
        <v>1294</v>
      </c>
      <c r="D65" s="141" t="s">
        <v>1856</v>
      </c>
      <c r="E65" s="155">
        <v>43009</v>
      </c>
      <c r="F65" s="141" t="s">
        <v>1714</v>
      </c>
      <c r="G65" s="141" t="s">
        <v>1742</v>
      </c>
      <c r="H65" s="141" t="s">
        <v>1729</v>
      </c>
      <c r="I65" s="141" t="s">
        <v>1729</v>
      </c>
      <c r="J65" s="141" t="s">
        <v>1729</v>
      </c>
      <c r="K65" s="149" t="s">
        <v>1730</v>
      </c>
      <c r="L65" s="141" t="s">
        <v>1729</v>
      </c>
      <c r="M65" s="141" t="s">
        <v>1729</v>
      </c>
      <c r="N65" s="141" t="s">
        <v>1729</v>
      </c>
      <c r="O65" s="141" t="s">
        <v>1729</v>
      </c>
      <c r="P65" s="141" t="s">
        <v>1729</v>
      </c>
      <c r="Q65" s="141" t="s">
        <v>1729</v>
      </c>
      <c r="R65" s="149" t="s">
        <v>1730</v>
      </c>
      <c r="S65" s="141" t="s">
        <v>1729</v>
      </c>
      <c r="T65" s="141" t="s">
        <v>1729</v>
      </c>
      <c r="U65" s="141" t="s">
        <v>1729</v>
      </c>
      <c r="V65" s="141" t="s">
        <v>1729</v>
      </c>
      <c r="W65" s="141" t="s">
        <v>1729</v>
      </c>
      <c r="X65" s="141" t="s">
        <v>1729</v>
      </c>
      <c r="Y65" s="149" t="s">
        <v>1730</v>
      </c>
      <c r="Z65" s="141" t="s">
        <v>1729</v>
      </c>
      <c r="AA65" s="141" t="s">
        <v>1729</v>
      </c>
      <c r="AB65" s="141" t="s">
        <v>1729</v>
      </c>
      <c r="AC65" s="141" t="s">
        <v>1729</v>
      </c>
      <c r="AD65" s="141" t="s">
        <v>1729</v>
      </c>
      <c r="AE65" s="141" t="s">
        <v>1729</v>
      </c>
      <c r="AF65" s="149" t="s">
        <v>1730</v>
      </c>
      <c r="AG65" s="141" t="s">
        <v>1729</v>
      </c>
      <c r="AH65" s="141" t="s">
        <v>1729</v>
      </c>
      <c r="AI65" s="141" t="s">
        <v>1729</v>
      </c>
      <c r="AJ65" s="143">
        <v>28</v>
      </c>
    </row>
    <row r="66" spans="1:36" x14ac:dyDescent="0.25">
      <c r="A66" s="144">
        <v>62</v>
      </c>
      <c r="B66" s="142" t="s">
        <v>1857</v>
      </c>
      <c r="C66" s="142" t="s">
        <v>631</v>
      </c>
      <c r="D66" s="141" t="s">
        <v>1858</v>
      </c>
      <c r="E66" s="155">
        <v>43009</v>
      </c>
      <c r="F66" s="141" t="s">
        <v>1714</v>
      </c>
      <c r="G66" s="141" t="s">
        <v>1733</v>
      </c>
      <c r="H66" s="141" t="s">
        <v>1729</v>
      </c>
      <c r="I66" s="141" t="s">
        <v>1734</v>
      </c>
      <c r="J66" s="141" t="s">
        <v>1729</v>
      </c>
      <c r="K66" s="149" t="s">
        <v>1730</v>
      </c>
      <c r="L66" s="141" t="s">
        <v>1729</v>
      </c>
      <c r="M66" s="141" t="s">
        <v>1729</v>
      </c>
      <c r="N66" s="141" t="s">
        <v>1729</v>
      </c>
      <c r="O66" s="141" t="s">
        <v>1729</v>
      </c>
      <c r="P66" s="141" t="s">
        <v>1729</v>
      </c>
      <c r="Q66" s="141" t="s">
        <v>1729</v>
      </c>
      <c r="R66" s="149" t="s">
        <v>1730</v>
      </c>
      <c r="S66" s="141" t="s">
        <v>1729</v>
      </c>
      <c r="T66" s="141" t="s">
        <v>1729</v>
      </c>
      <c r="U66" s="141" t="s">
        <v>1729</v>
      </c>
      <c r="V66" s="141" t="s">
        <v>1729</v>
      </c>
      <c r="W66" s="141" t="s">
        <v>1729</v>
      </c>
      <c r="X66" s="141" t="s">
        <v>1729</v>
      </c>
      <c r="Y66" s="149" t="s">
        <v>1730</v>
      </c>
      <c r="Z66" s="141" t="s">
        <v>1729</v>
      </c>
      <c r="AA66" s="141" t="s">
        <v>1729</v>
      </c>
      <c r="AB66" s="141" t="s">
        <v>1729</v>
      </c>
      <c r="AC66" s="141" t="s">
        <v>1734</v>
      </c>
      <c r="AD66" s="141" t="s">
        <v>1729</v>
      </c>
      <c r="AE66" s="141" t="s">
        <v>1729</v>
      </c>
      <c r="AF66" s="149" t="s">
        <v>1730</v>
      </c>
      <c r="AG66" s="141" t="s">
        <v>1729</v>
      </c>
      <c r="AH66" s="141" t="s">
        <v>1729</v>
      </c>
      <c r="AI66" s="141" t="s">
        <v>1729</v>
      </c>
      <c r="AJ66" s="143">
        <v>26</v>
      </c>
    </row>
    <row r="67" spans="1:36" x14ac:dyDescent="0.25">
      <c r="A67" s="144">
        <v>63</v>
      </c>
      <c r="B67" s="142" t="s">
        <v>1859</v>
      </c>
      <c r="C67" s="142" t="s">
        <v>1435</v>
      </c>
      <c r="D67" s="141" t="s">
        <v>1860</v>
      </c>
      <c r="E67" s="155">
        <v>43049</v>
      </c>
      <c r="F67" s="141" t="s">
        <v>1714</v>
      </c>
      <c r="G67" s="141" t="s">
        <v>1733</v>
      </c>
      <c r="H67" s="141" t="s">
        <v>1729</v>
      </c>
      <c r="I67" s="141" t="s">
        <v>1729</v>
      </c>
      <c r="J67" s="141" t="s">
        <v>1729</v>
      </c>
      <c r="K67" s="149" t="s">
        <v>1730</v>
      </c>
      <c r="L67" s="141" t="s">
        <v>1729</v>
      </c>
      <c r="M67" s="141" t="s">
        <v>1729</v>
      </c>
      <c r="N67" s="141" t="s">
        <v>1729</v>
      </c>
      <c r="O67" s="141" t="s">
        <v>1729</v>
      </c>
      <c r="P67" s="141" t="s">
        <v>1729</v>
      </c>
      <c r="Q67" s="141" t="s">
        <v>1729</v>
      </c>
      <c r="R67" s="149" t="s">
        <v>1730</v>
      </c>
      <c r="S67" s="141" t="s">
        <v>1729</v>
      </c>
      <c r="T67" s="141" t="s">
        <v>1734</v>
      </c>
      <c r="U67" s="141" t="s">
        <v>1729</v>
      </c>
      <c r="V67" s="141" t="s">
        <v>1729</v>
      </c>
      <c r="W67" s="141" t="s">
        <v>1729</v>
      </c>
      <c r="X67" s="141" t="s">
        <v>1729</v>
      </c>
      <c r="Y67" s="149" t="s">
        <v>1730</v>
      </c>
      <c r="Z67" s="141" t="s">
        <v>1729</v>
      </c>
      <c r="AA67" s="141" t="s">
        <v>1729</v>
      </c>
      <c r="AB67" s="141" t="s">
        <v>1729</v>
      </c>
      <c r="AC67" s="141" t="s">
        <v>1729</v>
      </c>
      <c r="AD67" s="141" t="s">
        <v>1729</v>
      </c>
      <c r="AE67" s="141" t="s">
        <v>1729</v>
      </c>
      <c r="AF67" s="149" t="s">
        <v>1730</v>
      </c>
      <c r="AG67" s="141" t="s">
        <v>1729</v>
      </c>
      <c r="AH67" s="141" t="s">
        <v>1729</v>
      </c>
      <c r="AI67" s="141" t="s">
        <v>1729</v>
      </c>
      <c r="AJ67" s="143">
        <v>27</v>
      </c>
    </row>
    <row r="68" spans="1:36" x14ac:dyDescent="0.25">
      <c r="A68" s="144">
        <v>64</v>
      </c>
      <c r="B68" s="142" t="s">
        <v>1861</v>
      </c>
      <c r="C68" s="142" t="s">
        <v>77</v>
      </c>
      <c r="D68" s="141" t="s">
        <v>1862</v>
      </c>
      <c r="E68" s="155">
        <v>43009</v>
      </c>
      <c r="F68" s="141" t="s">
        <v>1863</v>
      </c>
      <c r="G68" s="141" t="s">
        <v>1812</v>
      </c>
      <c r="H68" s="141" t="s">
        <v>1729</v>
      </c>
      <c r="I68" s="141" t="s">
        <v>1729</v>
      </c>
      <c r="J68" s="141" t="s">
        <v>1729</v>
      </c>
      <c r="K68" s="149" t="s">
        <v>1730</v>
      </c>
      <c r="L68" s="141" t="s">
        <v>1729</v>
      </c>
      <c r="M68" s="141" t="s">
        <v>1729</v>
      </c>
      <c r="N68" s="141" t="s">
        <v>1729</v>
      </c>
      <c r="O68" s="141" t="s">
        <v>1729</v>
      </c>
      <c r="P68" s="141" t="s">
        <v>1729</v>
      </c>
      <c r="Q68" s="141" t="s">
        <v>1729</v>
      </c>
      <c r="R68" s="149" t="s">
        <v>1730</v>
      </c>
      <c r="S68" s="141" t="s">
        <v>1729</v>
      </c>
      <c r="T68" s="141" t="s">
        <v>1729</v>
      </c>
      <c r="U68" s="141" t="s">
        <v>1729</v>
      </c>
      <c r="V68" s="141" t="s">
        <v>1729</v>
      </c>
      <c r="W68" s="141" t="s">
        <v>1729</v>
      </c>
      <c r="X68" s="141" t="s">
        <v>1729</v>
      </c>
      <c r="Y68" s="149" t="s">
        <v>1730</v>
      </c>
      <c r="Z68" s="141" t="s">
        <v>1729</v>
      </c>
      <c r="AA68" s="141" t="s">
        <v>1729</v>
      </c>
      <c r="AB68" s="141" t="s">
        <v>1729</v>
      </c>
      <c r="AC68" s="141" t="s">
        <v>1729</v>
      </c>
      <c r="AD68" s="141" t="s">
        <v>1729</v>
      </c>
      <c r="AE68" s="141" t="s">
        <v>1729</v>
      </c>
      <c r="AF68" s="149" t="s">
        <v>1730</v>
      </c>
      <c r="AG68" s="141" t="s">
        <v>1734</v>
      </c>
      <c r="AH68" s="141" t="s">
        <v>1734</v>
      </c>
      <c r="AI68" s="141" t="s">
        <v>1734</v>
      </c>
      <c r="AJ68" s="143">
        <v>25</v>
      </c>
    </row>
    <row r="69" spans="1:36" x14ac:dyDescent="0.25">
      <c r="A69" s="144">
        <v>65</v>
      </c>
      <c r="B69" s="142" t="s">
        <v>1864</v>
      </c>
      <c r="C69" s="142" t="s">
        <v>78</v>
      </c>
      <c r="D69" s="141" t="s">
        <v>1865</v>
      </c>
      <c r="E69" s="155">
        <v>43009</v>
      </c>
      <c r="F69" s="141" t="s">
        <v>1863</v>
      </c>
      <c r="G69" s="141" t="s">
        <v>1733</v>
      </c>
      <c r="H69" s="141" t="s">
        <v>1729</v>
      </c>
      <c r="I69" s="141" t="s">
        <v>1729</v>
      </c>
      <c r="J69" s="141" t="s">
        <v>1729</v>
      </c>
      <c r="K69" s="149" t="s">
        <v>1730</v>
      </c>
      <c r="L69" s="141" t="s">
        <v>1734</v>
      </c>
      <c r="M69" s="141" t="s">
        <v>1729</v>
      </c>
      <c r="N69" s="141" t="s">
        <v>1729</v>
      </c>
      <c r="O69" s="141" t="s">
        <v>1729</v>
      </c>
      <c r="P69" s="141" t="s">
        <v>1729</v>
      </c>
      <c r="Q69" s="141" t="s">
        <v>1729</v>
      </c>
      <c r="R69" s="149" t="s">
        <v>1730</v>
      </c>
      <c r="S69" s="141" t="s">
        <v>1729</v>
      </c>
      <c r="T69" s="141" t="s">
        <v>1729</v>
      </c>
      <c r="U69" s="141" t="s">
        <v>1734</v>
      </c>
      <c r="V69" s="141" t="s">
        <v>1729</v>
      </c>
      <c r="W69" s="141" t="s">
        <v>1729</v>
      </c>
      <c r="X69" s="141" t="s">
        <v>1729</v>
      </c>
      <c r="Y69" s="149" t="s">
        <v>1730</v>
      </c>
      <c r="Z69" s="141" t="s">
        <v>1729</v>
      </c>
      <c r="AA69" s="141" t="s">
        <v>1729</v>
      </c>
      <c r="AB69" s="141" t="s">
        <v>1729</v>
      </c>
      <c r="AC69" s="141" t="s">
        <v>1729</v>
      </c>
      <c r="AD69" s="141" t="s">
        <v>1734</v>
      </c>
      <c r="AE69" s="141" t="s">
        <v>1729</v>
      </c>
      <c r="AF69" s="149" t="s">
        <v>1730</v>
      </c>
      <c r="AG69" s="141" t="s">
        <v>1729</v>
      </c>
      <c r="AH69" s="141" t="s">
        <v>1729</v>
      </c>
      <c r="AI69" s="141" t="s">
        <v>1729</v>
      </c>
      <c r="AJ69" s="143">
        <v>25</v>
      </c>
    </row>
    <row r="70" spans="1:36" x14ac:dyDescent="0.25">
      <c r="A70" s="144">
        <v>66</v>
      </c>
      <c r="B70" s="142" t="s">
        <v>1866</v>
      </c>
      <c r="C70" s="142" t="s">
        <v>100</v>
      </c>
      <c r="D70" s="141" t="s">
        <v>1867</v>
      </c>
      <c r="E70" s="155">
        <v>43009</v>
      </c>
      <c r="F70" s="141" t="s">
        <v>1863</v>
      </c>
      <c r="G70" s="141" t="s">
        <v>1812</v>
      </c>
      <c r="H70" s="141" t="s">
        <v>1734</v>
      </c>
      <c r="I70" s="141" t="s">
        <v>1734</v>
      </c>
      <c r="J70" s="141" t="s">
        <v>1729</v>
      </c>
      <c r="K70" s="149" t="s">
        <v>1730</v>
      </c>
      <c r="L70" s="141" t="s">
        <v>1729</v>
      </c>
      <c r="M70" s="141" t="s">
        <v>1729</v>
      </c>
      <c r="N70" s="141" t="s">
        <v>1729</v>
      </c>
      <c r="O70" s="141" t="s">
        <v>1729</v>
      </c>
      <c r="P70" s="141" t="s">
        <v>1729</v>
      </c>
      <c r="Q70" s="141" t="s">
        <v>1729</v>
      </c>
      <c r="R70" s="149" t="s">
        <v>1730</v>
      </c>
      <c r="S70" s="141" t="s">
        <v>1729</v>
      </c>
      <c r="T70" s="141" t="s">
        <v>1729</v>
      </c>
      <c r="U70" s="141" t="s">
        <v>1729</v>
      </c>
      <c r="V70" s="141" t="s">
        <v>1729</v>
      </c>
      <c r="W70" s="141" t="s">
        <v>1729</v>
      </c>
      <c r="X70" s="141" t="s">
        <v>1729</v>
      </c>
      <c r="Y70" s="149" t="s">
        <v>1730</v>
      </c>
      <c r="Z70" s="141" t="s">
        <v>1729</v>
      </c>
      <c r="AA70" s="141" t="s">
        <v>1729</v>
      </c>
      <c r="AB70" s="141" t="s">
        <v>1729</v>
      </c>
      <c r="AC70" s="141" t="s">
        <v>1729</v>
      </c>
      <c r="AD70" s="141" t="s">
        <v>1729</v>
      </c>
      <c r="AE70" s="141" t="s">
        <v>1729</v>
      </c>
      <c r="AF70" s="149" t="s">
        <v>1730</v>
      </c>
      <c r="AG70" s="141" t="s">
        <v>1734</v>
      </c>
      <c r="AH70" s="141" t="s">
        <v>1729</v>
      </c>
      <c r="AI70" s="141" t="s">
        <v>1729</v>
      </c>
      <c r="AJ70" s="143">
        <v>25</v>
      </c>
    </row>
    <row r="71" spans="1:36" x14ac:dyDescent="0.25">
      <c r="A71" s="144">
        <v>67</v>
      </c>
      <c r="B71" s="142" t="s">
        <v>1868</v>
      </c>
      <c r="C71" s="142" t="s">
        <v>353</v>
      </c>
      <c r="D71" s="141" t="s">
        <v>1869</v>
      </c>
      <c r="E71" s="155">
        <v>43009</v>
      </c>
      <c r="F71" s="141" t="s">
        <v>1863</v>
      </c>
      <c r="G71" s="141" t="s">
        <v>1742</v>
      </c>
      <c r="H71" s="141" t="s">
        <v>1729</v>
      </c>
      <c r="I71" s="141" t="s">
        <v>1729</v>
      </c>
      <c r="J71" s="141" t="s">
        <v>1729</v>
      </c>
      <c r="K71" s="149" t="s">
        <v>1730</v>
      </c>
      <c r="L71" s="141" t="s">
        <v>1729</v>
      </c>
      <c r="M71" s="141" t="s">
        <v>1729</v>
      </c>
      <c r="N71" s="141" t="s">
        <v>1729</v>
      </c>
      <c r="O71" s="141" t="s">
        <v>1729</v>
      </c>
      <c r="P71" s="141" t="s">
        <v>1734</v>
      </c>
      <c r="Q71" s="141" t="s">
        <v>1729</v>
      </c>
      <c r="R71" s="149" t="s">
        <v>1730</v>
      </c>
      <c r="S71" s="141" t="s">
        <v>1729</v>
      </c>
      <c r="T71" s="141" t="s">
        <v>1729</v>
      </c>
      <c r="U71" s="141" t="s">
        <v>1729</v>
      </c>
      <c r="V71" s="141" t="s">
        <v>1729</v>
      </c>
      <c r="W71" s="141" t="s">
        <v>1729</v>
      </c>
      <c r="X71" s="141" t="s">
        <v>1734</v>
      </c>
      <c r="Y71" s="149" t="s">
        <v>1730</v>
      </c>
      <c r="Z71" s="141" t="s">
        <v>1729</v>
      </c>
      <c r="AA71" s="141" t="s">
        <v>1729</v>
      </c>
      <c r="AB71" s="141" t="s">
        <v>1729</v>
      </c>
      <c r="AC71" s="141" t="s">
        <v>1729</v>
      </c>
      <c r="AD71" s="141" t="s">
        <v>1729</v>
      </c>
      <c r="AE71" s="141" t="s">
        <v>1729</v>
      </c>
      <c r="AF71" s="149" t="s">
        <v>1730</v>
      </c>
      <c r="AG71" s="141" t="s">
        <v>1729</v>
      </c>
      <c r="AH71" s="141" t="s">
        <v>1729</v>
      </c>
      <c r="AI71" s="141" t="s">
        <v>1729</v>
      </c>
      <c r="AJ71" s="143">
        <v>26</v>
      </c>
    </row>
    <row r="72" spans="1:36" x14ac:dyDescent="0.25">
      <c r="A72" s="144">
        <v>68</v>
      </c>
      <c r="B72" s="142" t="s">
        <v>1870</v>
      </c>
      <c r="C72" s="142" t="s">
        <v>416</v>
      </c>
      <c r="D72" s="141" t="s">
        <v>1871</v>
      </c>
      <c r="E72" s="155">
        <v>43009</v>
      </c>
      <c r="F72" s="141" t="s">
        <v>1872</v>
      </c>
      <c r="G72" s="141" t="s">
        <v>1812</v>
      </c>
      <c r="H72" s="141" t="s">
        <v>1729</v>
      </c>
      <c r="I72" s="141" t="s">
        <v>1729</v>
      </c>
      <c r="J72" s="141" t="s">
        <v>1729</v>
      </c>
      <c r="K72" s="149" t="s">
        <v>1730</v>
      </c>
      <c r="L72" s="141" t="s">
        <v>1729</v>
      </c>
      <c r="M72" s="141" t="s">
        <v>1729</v>
      </c>
      <c r="N72" s="141" t="s">
        <v>1729</v>
      </c>
      <c r="O72" s="141" t="s">
        <v>1729</v>
      </c>
      <c r="P72" s="141" t="s">
        <v>1729</v>
      </c>
      <c r="Q72" s="141" t="s">
        <v>1729</v>
      </c>
      <c r="R72" s="149" t="s">
        <v>1730</v>
      </c>
      <c r="S72" s="141" t="s">
        <v>1729</v>
      </c>
      <c r="T72" s="141" t="s">
        <v>1729</v>
      </c>
      <c r="U72" s="141" t="s">
        <v>1729</v>
      </c>
      <c r="V72" s="141" t="s">
        <v>1729</v>
      </c>
      <c r="W72" s="141" t="s">
        <v>1729</v>
      </c>
      <c r="X72" s="141" t="s">
        <v>1729</v>
      </c>
      <c r="Y72" s="149" t="s">
        <v>1730</v>
      </c>
      <c r="Z72" s="141" t="s">
        <v>1729</v>
      </c>
      <c r="AA72" s="141" t="s">
        <v>1729</v>
      </c>
      <c r="AB72" s="141" t="s">
        <v>1729</v>
      </c>
      <c r="AC72" s="141" t="s">
        <v>1729</v>
      </c>
      <c r="AD72" s="141" t="s">
        <v>1729</v>
      </c>
      <c r="AE72" s="141" t="s">
        <v>1729</v>
      </c>
      <c r="AF72" s="149" t="s">
        <v>1730</v>
      </c>
      <c r="AG72" s="141" t="s">
        <v>1729</v>
      </c>
      <c r="AH72" s="141" t="s">
        <v>1729</v>
      </c>
      <c r="AI72" s="141" t="s">
        <v>1729</v>
      </c>
      <c r="AJ72" s="143">
        <v>28</v>
      </c>
    </row>
    <row r="73" spans="1:36" x14ac:dyDescent="0.25">
      <c r="A73" s="144">
        <v>69</v>
      </c>
      <c r="B73" s="142" t="s">
        <v>1873</v>
      </c>
      <c r="C73" s="142" t="s">
        <v>1448</v>
      </c>
      <c r="D73" s="141" t="s">
        <v>1874</v>
      </c>
      <c r="E73" s="155">
        <v>43068</v>
      </c>
      <c r="F73" s="141" t="s">
        <v>1863</v>
      </c>
      <c r="G73" s="141" t="s">
        <v>1812</v>
      </c>
      <c r="H73" s="141" t="s">
        <v>1729</v>
      </c>
      <c r="I73" s="141" t="s">
        <v>1729</v>
      </c>
      <c r="J73" s="141" t="s">
        <v>1729</v>
      </c>
      <c r="K73" s="149" t="s">
        <v>1730</v>
      </c>
      <c r="L73" s="141" t="s">
        <v>1729</v>
      </c>
      <c r="M73" s="141" t="s">
        <v>1729</v>
      </c>
      <c r="N73" s="141" t="s">
        <v>1729</v>
      </c>
      <c r="O73" s="141" t="s">
        <v>1729</v>
      </c>
      <c r="P73" s="141" t="s">
        <v>1729</v>
      </c>
      <c r="Q73" s="141" t="s">
        <v>1729</v>
      </c>
      <c r="R73" s="149" t="s">
        <v>1730</v>
      </c>
      <c r="S73" s="141" t="s">
        <v>1729</v>
      </c>
      <c r="T73" s="141" t="s">
        <v>1729</v>
      </c>
      <c r="U73" s="141" t="s">
        <v>1729</v>
      </c>
      <c r="V73" s="141" t="s">
        <v>1729</v>
      </c>
      <c r="W73" s="141" t="s">
        <v>1734</v>
      </c>
      <c r="X73" s="141" t="s">
        <v>1729</v>
      </c>
      <c r="Y73" s="149" t="s">
        <v>1730</v>
      </c>
      <c r="Z73" s="141" t="s">
        <v>1729</v>
      </c>
      <c r="AA73" s="141" t="s">
        <v>1729</v>
      </c>
      <c r="AB73" s="141" t="s">
        <v>1729</v>
      </c>
      <c r="AC73" s="141" t="s">
        <v>1729</v>
      </c>
      <c r="AD73" s="141" t="s">
        <v>1729</v>
      </c>
      <c r="AE73" s="141" t="s">
        <v>1729</v>
      </c>
      <c r="AF73" s="149" t="s">
        <v>1730</v>
      </c>
      <c r="AG73" s="141" t="s">
        <v>1729</v>
      </c>
      <c r="AH73" s="141" t="s">
        <v>1729</v>
      </c>
      <c r="AI73" s="141" t="s">
        <v>1729</v>
      </c>
      <c r="AJ73" s="143">
        <v>27</v>
      </c>
    </row>
    <row r="74" spans="1:36" x14ac:dyDescent="0.25">
      <c r="A74" s="144">
        <v>70</v>
      </c>
      <c r="B74" s="142" t="s">
        <v>1875</v>
      </c>
      <c r="C74" s="142" t="s">
        <v>38</v>
      </c>
      <c r="D74" s="141" t="s">
        <v>1876</v>
      </c>
      <c r="E74" s="155">
        <v>43009</v>
      </c>
      <c r="F74" s="141" t="s">
        <v>232</v>
      </c>
      <c r="G74" s="141" t="s">
        <v>1733</v>
      </c>
      <c r="H74" s="141" t="s">
        <v>1729</v>
      </c>
      <c r="I74" s="141" t="s">
        <v>1729</v>
      </c>
      <c r="J74" s="141" t="s">
        <v>1729</v>
      </c>
      <c r="K74" s="149" t="s">
        <v>1730</v>
      </c>
      <c r="L74" s="141" t="s">
        <v>1729</v>
      </c>
      <c r="M74" s="141" t="s">
        <v>1729</v>
      </c>
      <c r="N74" s="141" t="s">
        <v>1729</v>
      </c>
      <c r="O74" s="141" t="s">
        <v>1729</v>
      </c>
      <c r="P74" s="141" t="s">
        <v>1729</v>
      </c>
      <c r="Q74" s="141" t="s">
        <v>1729</v>
      </c>
      <c r="R74" s="149" t="s">
        <v>1730</v>
      </c>
      <c r="S74" s="141" t="s">
        <v>1729</v>
      </c>
      <c r="T74" s="141" t="s">
        <v>1729</v>
      </c>
      <c r="U74" s="141" t="s">
        <v>1734</v>
      </c>
      <c r="V74" s="141" t="s">
        <v>1729</v>
      </c>
      <c r="W74" s="141" t="s">
        <v>1729</v>
      </c>
      <c r="X74" s="141" t="s">
        <v>1729</v>
      </c>
      <c r="Y74" s="149" t="s">
        <v>1730</v>
      </c>
      <c r="Z74" s="141" t="s">
        <v>1729</v>
      </c>
      <c r="AA74" s="141" t="s">
        <v>1729</v>
      </c>
      <c r="AB74" s="141" t="s">
        <v>1729</v>
      </c>
      <c r="AC74" s="141" t="s">
        <v>1729</v>
      </c>
      <c r="AD74" s="141" t="s">
        <v>1729</v>
      </c>
      <c r="AE74" s="141" t="s">
        <v>1729</v>
      </c>
      <c r="AF74" s="149" t="s">
        <v>1730</v>
      </c>
      <c r="AG74" s="141" t="s">
        <v>1729</v>
      </c>
      <c r="AH74" s="141" t="s">
        <v>1729</v>
      </c>
      <c r="AI74" s="141" t="s">
        <v>1729</v>
      </c>
      <c r="AJ74" s="143">
        <v>27</v>
      </c>
    </row>
    <row r="75" spans="1:36" x14ac:dyDescent="0.25">
      <c r="A75" s="144">
        <v>71</v>
      </c>
      <c r="B75" s="142" t="s">
        <v>1877</v>
      </c>
      <c r="C75" s="142" t="s">
        <v>163</v>
      </c>
      <c r="D75" s="141" t="s">
        <v>1878</v>
      </c>
      <c r="E75" s="155">
        <v>43009</v>
      </c>
      <c r="F75" s="141" t="s">
        <v>232</v>
      </c>
      <c r="G75" s="141" t="s">
        <v>1733</v>
      </c>
      <c r="H75" s="141" t="s">
        <v>1729</v>
      </c>
      <c r="I75" s="141" t="s">
        <v>1729</v>
      </c>
      <c r="J75" s="141" t="s">
        <v>1729</v>
      </c>
      <c r="K75" s="149" t="s">
        <v>1730</v>
      </c>
      <c r="L75" s="141" t="s">
        <v>1729</v>
      </c>
      <c r="M75" s="141" t="s">
        <v>1729</v>
      </c>
      <c r="N75" s="141" t="s">
        <v>1729</v>
      </c>
      <c r="O75" s="141" t="s">
        <v>1729</v>
      </c>
      <c r="P75" s="141" t="s">
        <v>1729</v>
      </c>
      <c r="Q75" s="141" t="s">
        <v>1729</v>
      </c>
      <c r="R75" s="149" t="s">
        <v>1730</v>
      </c>
      <c r="S75" s="141" t="s">
        <v>1729</v>
      </c>
      <c r="T75" s="141" t="s">
        <v>1729</v>
      </c>
      <c r="U75" s="141" t="s">
        <v>1729</v>
      </c>
      <c r="V75" s="141" t="s">
        <v>1729</v>
      </c>
      <c r="W75" s="141" t="s">
        <v>1729</v>
      </c>
      <c r="X75" s="141" t="s">
        <v>1729</v>
      </c>
      <c r="Y75" s="149" t="s">
        <v>1730</v>
      </c>
      <c r="Z75" s="141" t="s">
        <v>1729</v>
      </c>
      <c r="AA75" s="141" t="s">
        <v>1729</v>
      </c>
      <c r="AB75" s="141" t="s">
        <v>1729</v>
      </c>
      <c r="AC75" s="141" t="s">
        <v>1729</v>
      </c>
      <c r="AD75" s="141" t="s">
        <v>1729</v>
      </c>
      <c r="AE75" s="141" t="s">
        <v>1729</v>
      </c>
      <c r="AF75" s="149" t="s">
        <v>1730</v>
      </c>
      <c r="AG75" s="141" t="s">
        <v>1729</v>
      </c>
      <c r="AH75" s="141" t="s">
        <v>1729</v>
      </c>
      <c r="AI75" s="141" t="s">
        <v>1729</v>
      </c>
      <c r="AJ75" s="143">
        <v>28</v>
      </c>
    </row>
    <row r="76" spans="1:36" x14ac:dyDescent="0.25">
      <c r="A76" s="144">
        <v>72</v>
      </c>
      <c r="B76" s="142" t="s">
        <v>1879</v>
      </c>
      <c r="C76" s="142" t="s">
        <v>188</v>
      </c>
      <c r="D76" s="141" t="s">
        <v>1880</v>
      </c>
      <c r="E76" s="155">
        <v>43009</v>
      </c>
      <c r="F76" s="141" t="s">
        <v>232</v>
      </c>
      <c r="G76" s="141" t="s">
        <v>1733</v>
      </c>
      <c r="H76" s="141" t="s">
        <v>1729</v>
      </c>
      <c r="I76" s="141" t="s">
        <v>1734</v>
      </c>
      <c r="J76" s="141" t="s">
        <v>1729</v>
      </c>
      <c r="K76" s="149" t="s">
        <v>1730</v>
      </c>
      <c r="L76" s="141" t="s">
        <v>1729</v>
      </c>
      <c r="M76" s="141" t="s">
        <v>1729</v>
      </c>
      <c r="N76" s="141" t="s">
        <v>1729</v>
      </c>
      <c r="O76" s="141" t="s">
        <v>1729</v>
      </c>
      <c r="P76" s="141" t="s">
        <v>1729</v>
      </c>
      <c r="Q76" s="141" t="s">
        <v>1729</v>
      </c>
      <c r="R76" s="149" t="s">
        <v>1730</v>
      </c>
      <c r="S76" s="141" t="s">
        <v>1729</v>
      </c>
      <c r="T76" s="141" t="s">
        <v>1729</v>
      </c>
      <c r="U76" s="141" t="s">
        <v>1729</v>
      </c>
      <c r="V76" s="141" t="s">
        <v>1729</v>
      </c>
      <c r="W76" s="141" t="s">
        <v>1729</v>
      </c>
      <c r="X76" s="141" t="s">
        <v>1729</v>
      </c>
      <c r="Y76" s="149" t="s">
        <v>1730</v>
      </c>
      <c r="Z76" s="141" t="s">
        <v>1729</v>
      </c>
      <c r="AA76" s="141" t="s">
        <v>1729</v>
      </c>
      <c r="AB76" s="141" t="s">
        <v>1734</v>
      </c>
      <c r="AC76" s="141" t="s">
        <v>1729</v>
      </c>
      <c r="AD76" s="141" t="s">
        <v>1729</v>
      </c>
      <c r="AE76" s="141" t="s">
        <v>1729</v>
      </c>
      <c r="AF76" s="149" t="s">
        <v>1730</v>
      </c>
      <c r="AG76" s="141" t="s">
        <v>1729</v>
      </c>
      <c r="AH76" s="141" t="s">
        <v>1729</v>
      </c>
      <c r="AI76" s="141" t="s">
        <v>1729</v>
      </c>
      <c r="AJ76" s="143">
        <v>26</v>
      </c>
    </row>
    <row r="77" spans="1:36" x14ac:dyDescent="0.25">
      <c r="A77" s="144">
        <v>73</v>
      </c>
      <c r="B77" s="141" t="s">
        <v>1881</v>
      </c>
      <c r="C77" s="142" t="s">
        <v>102</v>
      </c>
      <c r="D77" s="141" t="s">
        <v>1882</v>
      </c>
      <c r="E77" s="155">
        <v>43009</v>
      </c>
      <c r="F77" s="141" t="s">
        <v>1883</v>
      </c>
      <c r="G77" s="141" t="s">
        <v>1733</v>
      </c>
      <c r="H77" s="141" t="s">
        <v>1729</v>
      </c>
      <c r="I77" s="141" t="s">
        <v>1729</v>
      </c>
      <c r="J77" s="141" t="s">
        <v>1729</v>
      </c>
      <c r="K77" s="149" t="s">
        <v>1730</v>
      </c>
      <c r="L77" s="141" t="s">
        <v>1729</v>
      </c>
      <c r="M77" s="141" t="s">
        <v>1729</v>
      </c>
      <c r="N77" s="141" t="s">
        <v>1729</v>
      </c>
      <c r="O77" s="141" t="s">
        <v>1729</v>
      </c>
      <c r="P77" s="141" t="s">
        <v>1729</v>
      </c>
      <c r="Q77" s="141" t="s">
        <v>1729</v>
      </c>
      <c r="R77" s="149" t="s">
        <v>1730</v>
      </c>
      <c r="S77" s="141" t="s">
        <v>1729</v>
      </c>
      <c r="T77" s="141" t="s">
        <v>1729</v>
      </c>
      <c r="U77" s="141" t="s">
        <v>1729</v>
      </c>
      <c r="V77" s="141" t="s">
        <v>1729</v>
      </c>
      <c r="W77" s="141" t="s">
        <v>1729</v>
      </c>
      <c r="X77" s="141" t="s">
        <v>1729</v>
      </c>
      <c r="Y77" s="149" t="s">
        <v>1730</v>
      </c>
      <c r="Z77" s="141" t="s">
        <v>1729</v>
      </c>
      <c r="AA77" s="141" t="s">
        <v>1729</v>
      </c>
      <c r="AB77" s="141" t="s">
        <v>1729</v>
      </c>
      <c r="AC77" s="141" t="s">
        <v>1729</v>
      </c>
      <c r="AD77" s="141" t="s">
        <v>1729</v>
      </c>
      <c r="AE77" s="141" t="s">
        <v>1729</v>
      </c>
      <c r="AF77" s="149" t="s">
        <v>1730</v>
      </c>
      <c r="AG77" s="141" t="s">
        <v>1729</v>
      </c>
      <c r="AH77" s="141" t="s">
        <v>1729</v>
      </c>
      <c r="AI77" s="141" t="s">
        <v>1729</v>
      </c>
      <c r="AJ77" s="143">
        <v>28</v>
      </c>
    </row>
    <row r="78" spans="1:36" x14ac:dyDescent="0.25">
      <c r="A78" s="144">
        <v>74</v>
      </c>
      <c r="B78" s="142" t="s">
        <v>1884</v>
      </c>
      <c r="C78" s="142" t="s">
        <v>43</v>
      </c>
      <c r="D78" s="141" t="s">
        <v>1885</v>
      </c>
      <c r="E78" s="155">
        <v>43009</v>
      </c>
      <c r="F78" s="141" t="s">
        <v>1886</v>
      </c>
      <c r="G78" s="141" t="s">
        <v>1733</v>
      </c>
      <c r="H78" s="141" t="s">
        <v>1729</v>
      </c>
      <c r="I78" s="141" t="s">
        <v>1729</v>
      </c>
      <c r="J78" s="141" t="s">
        <v>1729</v>
      </c>
      <c r="K78" s="149" t="s">
        <v>1730</v>
      </c>
      <c r="L78" s="141" t="s">
        <v>1729</v>
      </c>
      <c r="M78" s="141" t="s">
        <v>1729</v>
      </c>
      <c r="N78" s="141" t="s">
        <v>1729</v>
      </c>
      <c r="O78" s="141" t="s">
        <v>1729</v>
      </c>
      <c r="P78" s="141" t="s">
        <v>1729</v>
      </c>
      <c r="Q78" s="141" t="s">
        <v>1729</v>
      </c>
      <c r="R78" s="149" t="s">
        <v>1730</v>
      </c>
      <c r="S78" s="141" t="s">
        <v>1729</v>
      </c>
      <c r="T78" s="141" t="s">
        <v>1729</v>
      </c>
      <c r="U78" s="141" t="s">
        <v>1729</v>
      </c>
      <c r="V78" s="141" t="s">
        <v>1729</v>
      </c>
      <c r="W78" s="141" t="s">
        <v>1729</v>
      </c>
      <c r="X78" s="141" t="s">
        <v>1729</v>
      </c>
      <c r="Y78" s="149" t="s">
        <v>1730</v>
      </c>
      <c r="Z78" s="141" t="s">
        <v>1729</v>
      </c>
      <c r="AA78" s="141" t="s">
        <v>1729</v>
      </c>
      <c r="AB78" s="141" t="s">
        <v>1734</v>
      </c>
      <c r="AC78" s="141" t="s">
        <v>1729</v>
      </c>
      <c r="AD78" s="141" t="s">
        <v>1729</v>
      </c>
      <c r="AE78" s="141" t="s">
        <v>1729</v>
      </c>
      <c r="AF78" s="149" t="s">
        <v>1730</v>
      </c>
      <c r="AG78" s="141" t="s">
        <v>1729</v>
      </c>
      <c r="AH78" s="141" t="s">
        <v>1729</v>
      </c>
      <c r="AI78" s="141" t="s">
        <v>1729</v>
      </c>
      <c r="AJ78" s="143">
        <v>27</v>
      </c>
    </row>
    <row r="79" spans="1:36" x14ac:dyDescent="0.25">
      <c r="A79" s="144">
        <v>75</v>
      </c>
      <c r="B79" s="141" t="s">
        <v>1887</v>
      </c>
      <c r="C79" s="142" t="s">
        <v>620</v>
      </c>
      <c r="D79" s="141" t="s">
        <v>1888</v>
      </c>
      <c r="E79" s="155">
        <v>43009</v>
      </c>
      <c r="F79" s="141" t="s">
        <v>1737</v>
      </c>
      <c r="G79" s="141" t="s">
        <v>1733</v>
      </c>
      <c r="H79" s="141" t="s">
        <v>1729</v>
      </c>
      <c r="I79" s="141" t="s">
        <v>1729</v>
      </c>
      <c r="J79" s="141" t="s">
        <v>1729</v>
      </c>
      <c r="K79" s="149" t="s">
        <v>1730</v>
      </c>
      <c r="L79" s="141" t="s">
        <v>1729</v>
      </c>
      <c r="M79" s="141" t="s">
        <v>1729</v>
      </c>
      <c r="N79" s="141" t="s">
        <v>1729</v>
      </c>
      <c r="O79" s="141" t="s">
        <v>1729</v>
      </c>
      <c r="P79" s="141" t="s">
        <v>1729</v>
      </c>
      <c r="Q79" s="141" t="s">
        <v>1729</v>
      </c>
      <c r="R79" s="149" t="s">
        <v>1730</v>
      </c>
      <c r="S79" s="141" t="s">
        <v>1729</v>
      </c>
      <c r="T79" s="141" t="s">
        <v>1729</v>
      </c>
      <c r="U79" s="141" t="s">
        <v>1729</v>
      </c>
      <c r="V79" s="141" t="s">
        <v>1729</v>
      </c>
      <c r="W79" s="141" t="s">
        <v>1729</v>
      </c>
      <c r="X79" s="141" t="s">
        <v>1729</v>
      </c>
      <c r="Y79" s="149" t="s">
        <v>1730</v>
      </c>
      <c r="Z79" s="141" t="s">
        <v>1729</v>
      </c>
      <c r="AA79" s="141" t="s">
        <v>1729</v>
      </c>
      <c r="AB79" s="141" t="s">
        <v>1729</v>
      </c>
      <c r="AC79" s="141" t="s">
        <v>1734</v>
      </c>
      <c r="AD79" s="141" t="s">
        <v>1734</v>
      </c>
      <c r="AE79" s="141" t="s">
        <v>1734</v>
      </c>
      <c r="AF79" s="149" t="s">
        <v>1734</v>
      </c>
      <c r="AG79" s="141" t="s">
        <v>1734</v>
      </c>
      <c r="AH79" s="141" t="s">
        <v>1734</v>
      </c>
      <c r="AI79" s="141" t="s">
        <v>1734</v>
      </c>
      <c r="AJ79" s="143">
        <v>21</v>
      </c>
    </row>
    <row r="80" spans="1:36" x14ac:dyDescent="0.25">
      <c r="A80" s="144">
        <v>76</v>
      </c>
      <c r="B80" s="141" t="s">
        <v>1889</v>
      </c>
      <c r="C80" s="142" t="s">
        <v>586</v>
      </c>
      <c r="D80" s="141" t="s">
        <v>1890</v>
      </c>
      <c r="E80" s="155">
        <v>43009</v>
      </c>
      <c r="F80" s="141" t="s">
        <v>1886</v>
      </c>
      <c r="G80" s="141" t="s">
        <v>1733</v>
      </c>
      <c r="H80" s="141" t="s">
        <v>1729</v>
      </c>
      <c r="I80" s="141" t="s">
        <v>1729</v>
      </c>
      <c r="J80" s="141" t="s">
        <v>1729</v>
      </c>
      <c r="K80" s="149" t="s">
        <v>1734</v>
      </c>
      <c r="L80" s="141" t="s">
        <v>1729</v>
      </c>
      <c r="M80" s="141" t="s">
        <v>1729</v>
      </c>
      <c r="N80" s="141" t="s">
        <v>1729</v>
      </c>
      <c r="O80" s="141" t="s">
        <v>1729</v>
      </c>
      <c r="P80" s="141" t="s">
        <v>1729</v>
      </c>
      <c r="Q80" s="141" t="s">
        <v>1729</v>
      </c>
      <c r="R80" s="149" t="s">
        <v>1730</v>
      </c>
      <c r="S80" s="141" t="s">
        <v>1729</v>
      </c>
      <c r="T80" s="141" t="s">
        <v>1729</v>
      </c>
      <c r="U80" s="141" t="s">
        <v>1729</v>
      </c>
      <c r="V80" s="141" t="s">
        <v>1729</v>
      </c>
      <c r="W80" s="141" t="s">
        <v>1729</v>
      </c>
      <c r="X80" s="141" t="s">
        <v>1729</v>
      </c>
      <c r="Y80" s="149" t="s">
        <v>1730</v>
      </c>
      <c r="Z80" s="141" t="s">
        <v>1729</v>
      </c>
      <c r="AA80" s="141" t="s">
        <v>1729</v>
      </c>
      <c r="AB80" s="141" t="s">
        <v>1729</v>
      </c>
      <c r="AC80" s="141" t="s">
        <v>1729</v>
      </c>
      <c r="AD80" s="141" t="s">
        <v>1734</v>
      </c>
      <c r="AE80" s="141" t="s">
        <v>1729</v>
      </c>
      <c r="AF80" s="149" t="s">
        <v>1730</v>
      </c>
      <c r="AG80" s="141" t="s">
        <v>1729</v>
      </c>
      <c r="AH80" s="141" t="s">
        <v>1729</v>
      </c>
      <c r="AI80" s="141" t="s">
        <v>1729</v>
      </c>
      <c r="AJ80" s="143">
        <v>26</v>
      </c>
    </row>
    <row r="81" spans="1:36" x14ac:dyDescent="0.25">
      <c r="A81" s="144">
        <v>77</v>
      </c>
      <c r="B81" s="142" t="s">
        <v>1891</v>
      </c>
      <c r="C81" s="142" t="s">
        <v>189</v>
      </c>
      <c r="D81" s="141" t="s">
        <v>1892</v>
      </c>
      <c r="E81" s="155">
        <v>43009</v>
      </c>
      <c r="F81" s="141" t="s">
        <v>1886</v>
      </c>
      <c r="G81" s="141" t="s">
        <v>1733</v>
      </c>
      <c r="H81" s="141" t="s">
        <v>1729</v>
      </c>
      <c r="I81" s="141" t="s">
        <v>1729</v>
      </c>
      <c r="J81" s="141" t="s">
        <v>1729</v>
      </c>
      <c r="K81" s="149" t="s">
        <v>1730</v>
      </c>
      <c r="L81" s="141" t="s">
        <v>1729</v>
      </c>
      <c r="M81" s="141" t="s">
        <v>1729</v>
      </c>
      <c r="N81" s="141" t="s">
        <v>1729</v>
      </c>
      <c r="O81" s="141" t="s">
        <v>1729</v>
      </c>
      <c r="P81" s="141" t="s">
        <v>1729</v>
      </c>
      <c r="Q81" s="141" t="s">
        <v>1729</v>
      </c>
      <c r="R81" s="149" t="s">
        <v>1730</v>
      </c>
      <c r="S81" s="141" t="s">
        <v>1729</v>
      </c>
      <c r="T81" s="141" t="s">
        <v>1729</v>
      </c>
      <c r="U81" s="141" t="s">
        <v>1729</v>
      </c>
      <c r="V81" s="141" t="s">
        <v>1729</v>
      </c>
      <c r="W81" s="141" t="s">
        <v>1729</v>
      </c>
      <c r="X81" s="141" t="s">
        <v>1729</v>
      </c>
      <c r="Y81" s="149" t="s">
        <v>1730</v>
      </c>
      <c r="Z81" s="141" t="s">
        <v>1729</v>
      </c>
      <c r="AA81" s="141" t="s">
        <v>1729</v>
      </c>
      <c r="AB81" s="141" t="s">
        <v>1729</v>
      </c>
      <c r="AC81" s="141" t="s">
        <v>1729</v>
      </c>
      <c r="AD81" s="141" t="s">
        <v>1729</v>
      </c>
      <c r="AE81" s="141" t="s">
        <v>1729</v>
      </c>
      <c r="AF81" s="149" t="s">
        <v>1730</v>
      </c>
      <c r="AG81" s="141" t="s">
        <v>1729</v>
      </c>
      <c r="AH81" s="141" t="s">
        <v>1729</v>
      </c>
      <c r="AI81" s="141" t="s">
        <v>1729</v>
      </c>
      <c r="AJ81" s="143">
        <v>28</v>
      </c>
    </row>
    <row r="82" spans="1:36" x14ac:dyDescent="0.25">
      <c r="A82" s="144">
        <v>78</v>
      </c>
      <c r="B82" s="142" t="s">
        <v>1893</v>
      </c>
      <c r="C82" s="142" t="s">
        <v>1122</v>
      </c>
      <c r="D82" s="141" t="s">
        <v>1894</v>
      </c>
      <c r="E82" s="155">
        <v>43009</v>
      </c>
      <c r="F82" s="141" t="s">
        <v>1886</v>
      </c>
      <c r="G82" s="141" t="s">
        <v>1733</v>
      </c>
      <c r="H82" s="141" t="s">
        <v>1729</v>
      </c>
      <c r="I82" s="141" t="s">
        <v>1729</v>
      </c>
      <c r="J82" s="141" t="s">
        <v>1729</v>
      </c>
      <c r="K82" s="149" t="s">
        <v>1730</v>
      </c>
      <c r="L82" s="141" t="s">
        <v>1729</v>
      </c>
      <c r="M82" s="141" t="s">
        <v>1729</v>
      </c>
      <c r="N82" s="141" t="s">
        <v>1729</v>
      </c>
      <c r="O82" s="141" t="s">
        <v>1729</v>
      </c>
      <c r="P82" s="141" t="s">
        <v>1729</v>
      </c>
      <c r="Q82" s="141" t="s">
        <v>1729</v>
      </c>
      <c r="R82" s="149" t="s">
        <v>1730</v>
      </c>
      <c r="S82" s="141" t="s">
        <v>1729</v>
      </c>
      <c r="T82" s="141" t="s">
        <v>1729</v>
      </c>
      <c r="U82" s="141" t="s">
        <v>1729</v>
      </c>
      <c r="V82" s="141" t="s">
        <v>1729</v>
      </c>
      <c r="W82" s="141" t="s">
        <v>1729</v>
      </c>
      <c r="X82" s="141" t="s">
        <v>1729</v>
      </c>
      <c r="Y82" s="149" t="s">
        <v>1730</v>
      </c>
      <c r="Z82" s="141" t="s">
        <v>1729</v>
      </c>
      <c r="AA82" s="141" t="s">
        <v>1729</v>
      </c>
      <c r="AB82" s="141" t="s">
        <v>1729</v>
      </c>
      <c r="AC82" s="141" t="s">
        <v>1729</v>
      </c>
      <c r="AD82" s="141" t="s">
        <v>1729</v>
      </c>
      <c r="AE82" s="141" t="s">
        <v>1729</v>
      </c>
      <c r="AF82" s="149" t="s">
        <v>1730</v>
      </c>
      <c r="AG82" s="141" t="s">
        <v>1729</v>
      </c>
      <c r="AH82" s="141" t="s">
        <v>1729</v>
      </c>
      <c r="AI82" s="141" t="s">
        <v>1729</v>
      </c>
      <c r="AJ82" s="143">
        <v>28</v>
      </c>
    </row>
    <row r="83" spans="1:36" x14ac:dyDescent="0.25">
      <c r="A83" s="144">
        <v>79</v>
      </c>
      <c r="B83" s="142" t="s">
        <v>1895</v>
      </c>
      <c r="C83" s="142" t="s">
        <v>1123</v>
      </c>
      <c r="D83" s="141" t="s">
        <v>1896</v>
      </c>
      <c r="E83" s="155">
        <v>43009</v>
      </c>
      <c r="F83" s="141" t="s">
        <v>1886</v>
      </c>
      <c r="G83" s="141" t="s">
        <v>1733</v>
      </c>
      <c r="H83" s="141" t="s">
        <v>1729</v>
      </c>
      <c r="I83" s="141" t="s">
        <v>1729</v>
      </c>
      <c r="J83" s="141" t="s">
        <v>1729</v>
      </c>
      <c r="K83" s="149" t="s">
        <v>1734</v>
      </c>
      <c r="L83" s="141" t="s">
        <v>1734</v>
      </c>
      <c r="M83" s="141" t="s">
        <v>1734</v>
      </c>
      <c r="N83" s="141" t="s">
        <v>1734</v>
      </c>
      <c r="O83" s="141" t="s">
        <v>1734</v>
      </c>
      <c r="P83" s="141" t="s">
        <v>1734</v>
      </c>
      <c r="Q83" s="141" t="s">
        <v>1734</v>
      </c>
      <c r="R83" s="149" t="s">
        <v>1734</v>
      </c>
      <c r="S83" s="141" t="s">
        <v>1729</v>
      </c>
      <c r="T83" s="141" t="s">
        <v>1729</v>
      </c>
      <c r="U83" s="141" t="s">
        <v>1729</v>
      </c>
      <c r="V83" s="141" t="s">
        <v>1729</v>
      </c>
      <c r="W83" s="141" t="s">
        <v>1729</v>
      </c>
      <c r="X83" s="141" t="s">
        <v>1729</v>
      </c>
      <c r="Y83" s="149" t="s">
        <v>1730</v>
      </c>
      <c r="Z83" s="141" t="s">
        <v>1734</v>
      </c>
      <c r="AA83" s="141" t="s">
        <v>1729</v>
      </c>
      <c r="AB83" s="141" t="s">
        <v>1729</v>
      </c>
      <c r="AC83" s="141" t="s">
        <v>1729</v>
      </c>
      <c r="AD83" s="141" t="s">
        <v>1729</v>
      </c>
      <c r="AE83" s="141" t="s">
        <v>1729</v>
      </c>
      <c r="AF83" s="149" t="s">
        <v>1730</v>
      </c>
      <c r="AG83" s="141" t="s">
        <v>1729</v>
      </c>
      <c r="AH83" s="141" t="s">
        <v>1729</v>
      </c>
      <c r="AI83" s="141" t="s">
        <v>1729</v>
      </c>
      <c r="AJ83" s="143">
        <v>19</v>
      </c>
    </row>
    <row r="84" spans="1:36" x14ac:dyDescent="0.25">
      <c r="A84" s="144">
        <v>80</v>
      </c>
      <c r="B84" s="142" t="s">
        <v>1897</v>
      </c>
      <c r="C84" s="142" t="s">
        <v>1436</v>
      </c>
      <c r="D84" s="141" t="s">
        <v>1898</v>
      </c>
      <c r="E84" s="155">
        <v>43041</v>
      </c>
      <c r="F84" s="141" t="s">
        <v>1886</v>
      </c>
      <c r="G84" s="141" t="s">
        <v>1733</v>
      </c>
      <c r="H84" s="141" t="s">
        <v>1729</v>
      </c>
      <c r="I84" s="141" t="s">
        <v>1729</v>
      </c>
      <c r="J84" s="141" t="s">
        <v>1729</v>
      </c>
      <c r="K84" s="149" t="s">
        <v>1730</v>
      </c>
      <c r="L84" s="141" t="s">
        <v>1729</v>
      </c>
      <c r="M84" s="141" t="s">
        <v>1729</v>
      </c>
      <c r="N84" s="141" t="s">
        <v>1729</v>
      </c>
      <c r="O84" s="141" t="s">
        <v>1729</v>
      </c>
      <c r="P84" s="141" t="s">
        <v>1729</v>
      </c>
      <c r="Q84" s="141" t="s">
        <v>1729</v>
      </c>
      <c r="R84" s="149" t="s">
        <v>1730</v>
      </c>
      <c r="S84" s="141" t="s">
        <v>1729</v>
      </c>
      <c r="T84" s="141" t="s">
        <v>1734</v>
      </c>
      <c r="U84" s="141" t="s">
        <v>1729</v>
      </c>
      <c r="V84" s="141" t="s">
        <v>1729</v>
      </c>
      <c r="W84" s="141" t="s">
        <v>1729</v>
      </c>
      <c r="X84" s="141" t="s">
        <v>1729</v>
      </c>
      <c r="Y84" s="149" t="s">
        <v>1730</v>
      </c>
      <c r="Z84" s="141" t="s">
        <v>1729</v>
      </c>
      <c r="AA84" s="141" t="s">
        <v>1729</v>
      </c>
      <c r="AB84" s="141" t="s">
        <v>1729</v>
      </c>
      <c r="AC84" s="141" t="s">
        <v>1729</v>
      </c>
      <c r="AD84" s="141" t="s">
        <v>1729</v>
      </c>
      <c r="AE84" s="141" t="s">
        <v>1729</v>
      </c>
      <c r="AF84" s="149" t="s">
        <v>1730</v>
      </c>
      <c r="AG84" s="141" t="s">
        <v>1729</v>
      </c>
      <c r="AH84" s="141" t="s">
        <v>1729</v>
      </c>
      <c r="AI84" s="141" t="s">
        <v>1734</v>
      </c>
      <c r="AJ84" s="143">
        <v>26</v>
      </c>
    </row>
    <row r="85" spans="1:36" x14ac:dyDescent="0.25">
      <c r="A85" s="144">
        <v>81</v>
      </c>
      <c r="B85" s="142" t="s">
        <v>1899</v>
      </c>
      <c r="C85" s="142" t="s">
        <v>1438</v>
      </c>
      <c r="D85" s="141" t="s">
        <v>1900</v>
      </c>
      <c r="E85" s="155">
        <v>43063</v>
      </c>
      <c r="F85" s="141" t="s">
        <v>1886</v>
      </c>
      <c r="G85" s="141" t="s">
        <v>1733</v>
      </c>
      <c r="H85" s="141" t="s">
        <v>1729</v>
      </c>
      <c r="I85" s="141" t="s">
        <v>1729</v>
      </c>
      <c r="J85" s="141" t="s">
        <v>1729</v>
      </c>
      <c r="K85" s="149" t="s">
        <v>1730</v>
      </c>
      <c r="L85" s="141" t="s">
        <v>1729</v>
      </c>
      <c r="M85" s="141" t="s">
        <v>1729</v>
      </c>
      <c r="N85" s="141" t="s">
        <v>1729</v>
      </c>
      <c r="O85" s="141" t="s">
        <v>1729</v>
      </c>
      <c r="P85" s="141" t="s">
        <v>1729</v>
      </c>
      <c r="Q85" s="141" t="s">
        <v>1729</v>
      </c>
      <c r="R85" s="149" t="s">
        <v>1730</v>
      </c>
      <c r="S85" s="141" t="s">
        <v>1729</v>
      </c>
      <c r="T85" s="141" t="s">
        <v>1729</v>
      </c>
      <c r="U85" s="141" t="s">
        <v>1729</v>
      </c>
      <c r="V85" s="141" t="s">
        <v>1729</v>
      </c>
      <c r="W85" s="141" t="s">
        <v>1729</v>
      </c>
      <c r="X85" s="141" t="s">
        <v>1729</v>
      </c>
      <c r="Y85" s="149" t="s">
        <v>1730</v>
      </c>
      <c r="Z85" s="141" t="s">
        <v>1729</v>
      </c>
      <c r="AA85" s="141" t="s">
        <v>1729</v>
      </c>
      <c r="AB85" s="141" t="s">
        <v>1729</v>
      </c>
      <c r="AC85" s="141" t="s">
        <v>1729</v>
      </c>
      <c r="AD85" s="141" t="s">
        <v>1729</v>
      </c>
      <c r="AE85" s="141" t="s">
        <v>1729</v>
      </c>
      <c r="AF85" s="149" t="s">
        <v>1730</v>
      </c>
      <c r="AG85" s="141" t="s">
        <v>1729</v>
      </c>
      <c r="AH85" s="141" t="s">
        <v>1729</v>
      </c>
      <c r="AI85" s="141" t="s">
        <v>1729</v>
      </c>
      <c r="AJ85" s="143">
        <v>28</v>
      </c>
    </row>
    <row r="86" spans="1:36" x14ac:dyDescent="0.25">
      <c r="A86" s="144">
        <v>82</v>
      </c>
      <c r="B86" s="142" t="s">
        <v>1901</v>
      </c>
      <c r="C86" s="142" t="s">
        <v>159</v>
      </c>
      <c r="D86" s="141" t="s">
        <v>1902</v>
      </c>
      <c r="E86" s="155">
        <v>43009</v>
      </c>
      <c r="F86" s="141" t="s">
        <v>1903</v>
      </c>
      <c r="G86" s="141" t="s">
        <v>1733</v>
      </c>
      <c r="H86" s="141" t="s">
        <v>1729</v>
      </c>
      <c r="I86" s="141" t="s">
        <v>1729</v>
      </c>
      <c r="J86" s="141" t="s">
        <v>1729</v>
      </c>
      <c r="K86" s="149" t="s">
        <v>1730</v>
      </c>
      <c r="L86" s="141" t="s">
        <v>1729</v>
      </c>
      <c r="M86" s="141" t="s">
        <v>1729</v>
      </c>
      <c r="N86" s="141" t="s">
        <v>1729</v>
      </c>
      <c r="O86" s="141" t="s">
        <v>1729</v>
      </c>
      <c r="P86" s="141" t="s">
        <v>1729</v>
      </c>
      <c r="Q86" s="141" t="s">
        <v>1729</v>
      </c>
      <c r="R86" s="149" t="s">
        <v>1730</v>
      </c>
      <c r="S86" s="141" t="s">
        <v>1734</v>
      </c>
      <c r="T86" s="141" t="s">
        <v>1734</v>
      </c>
      <c r="U86" s="141" t="s">
        <v>1734</v>
      </c>
      <c r="V86" s="141" t="s">
        <v>1734</v>
      </c>
      <c r="W86" s="141" t="s">
        <v>1734</v>
      </c>
      <c r="X86" s="141" t="s">
        <v>1734</v>
      </c>
      <c r="Y86" s="149" t="s">
        <v>1734</v>
      </c>
      <c r="Z86" s="141" t="s">
        <v>1734</v>
      </c>
      <c r="AA86" s="141" t="s">
        <v>1734</v>
      </c>
      <c r="AB86" s="141" t="s">
        <v>1734</v>
      </c>
      <c r="AC86" s="141" t="s">
        <v>1729</v>
      </c>
      <c r="AD86" s="141" t="s">
        <v>1729</v>
      </c>
      <c r="AE86" s="141" t="s">
        <v>1729</v>
      </c>
      <c r="AF86" s="149" t="s">
        <v>1730</v>
      </c>
      <c r="AG86" s="141" t="s">
        <v>1729</v>
      </c>
      <c r="AH86" s="141" t="s">
        <v>1729</v>
      </c>
      <c r="AI86" s="141" t="s">
        <v>1729</v>
      </c>
      <c r="AJ86" s="143">
        <v>18</v>
      </c>
    </row>
    <row r="87" spans="1:36" x14ac:dyDescent="0.25">
      <c r="A87" s="144">
        <v>83</v>
      </c>
      <c r="B87" s="142" t="s">
        <v>1904</v>
      </c>
      <c r="C87" s="142" t="s">
        <v>101</v>
      </c>
      <c r="D87" s="141" t="s">
        <v>1905</v>
      </c>
      <c r="E87" s="155">
        <v>43009</v>
      </c>
      <c r="F87" s="141" t="s">
        <v>1903</v>
      </c>
      <c r="G87" s="141" t="s">
        <v>1733</v>
      </c>
      <c r="H87" s="141" t="s">
        <v>1729</v>
      </c>
      <c r="I87" s="141" t="s">
        <v>1729</v>
      </c>
      <c r="J87" s="141" t="s">
        <v>1729</v>
      </c>
      <c r="K87" s="149" t="s">
        <v>1730</v>
      </c>
      <c r="L87" s="141" t="s">
        <v>1729</v>
      </c>
      <c r="M87" s="141" t="s">
        <v>1729</v>
      </c>
      <c r="N87" s="141" t="s">
        <v>1729</v>
      </c>
      <c r="O87" s="141" t="s">
        <v>1729</v>
      </c>
      <c r="P87" s="141" t="s">
        <v>1729</v>
      </c>
      <c r="Q87" s="141" t="s">
        <v>1729</v>
      </c>
      <c r="R87" s="149" t="s">
        <v>1730</v>
      </c>
      <c r="S87" s="141" t="s">
        <v>1729</v>
      </c>
      <c r="T87" s="141" t="s">
        <v>1729</v>
      </c>
      <c r="U87" s="141" t="s">
        <v>1729</v>
      </c>
      <c r="V87" s="141" t="s">
        <v>1729</v>
      </c>
      <c r="W87" s="141" t="s">
        <v>1729</v>
      </c>
      <c r="X87" s="141" t="s">
        <v>1729</v>
      </c>
      <c r="Y87" s="149" t="s">
        <v>1730</v>
      </c>
      <c r="Z87" s="141" t="s">
        <v>1729</v>
      </c>
      <c r="AA87" s="141" t="s">
        <v>1729</v>
      </c>
      <c r="AB87" s="141" t="s">
        <v>1729</v>
      </c>
      <c r="AC87" s="141" t="s">
        <v>1729</v>
      </c>
      <c r="AD87" s="141" t="s">
        <v>1729</v>
      </c>
      <c r="AE87" s="141" t="s">
        <v>1729</v>
      </c>
      <c r="AF87" s="149" t="s">
        <v>1730</v>
      </c>
      <c r="AG87" s="141" t="s">
        <v>1729</v>
      </c>
      <c r="AH87" s="141" t="s">
        <v>1729</v>
      </c>
      <c r="AI87" s="141" t="s">
        <v>1729</v>
      </c>
      <c r="AJ87" s="143">
        <v>28</v>
      </c>
    </row>
    <row r="88" spans="1:36" x14ac:dyDescent="0.25">
      <c r="A88" s="144">
        <v>84</v>
      </c>
      <c r="B88" s="142" t="s">
        <v>1906</v>
      </c>
      <c r="C88" s="142" t="s">
        <v>161</v>
      </c>
      <c r="D88" s="141" t="s">
        <v>1907</v>
      </c>
      <c r="E88" s="155">
        <v>43009</v>
      </c>
      <c r="F88" s="141" t="s">
        <v>1903</v>
      </c>
      <c r="G88" s="141" t="s">
        <v>1733</v>
      </c>
      <c r="H88" s="141" t="s">
        <v>1729</v>
      </c>
      <c r="I88" s="141" t="s">
        <v>1729</v>
      </c>
      <c r="J88" s="141" t="s">
        <v>1729</v>
      </c>
      <c r="K88" s="149" t="s">
        <v>1730</v>
      </c>
      <c r="L88" s="141" t="s">
        <v>1729</v>
      </c>
      <c r="M88" s="141" t="s">
        <v>1729</v>
      </c>
      <c r="N88" s="141" t="s">
        <v>1729</v>
      </c>
      <c r="O88" s="141" t="s">
        <v>1729</v>
      </c>
      <c r="P88" s="141" t="s">
        <v>1729</v>
      </c>
      <c r="Q88" s="141" t="s">
        <v>1734</v>
      </c>
      <c r="R88" s="149" t="s">
        <v>1730</v>
      </c>
      <c r="S88" s="141" t="s">
        <v>1729</v>
      </c>
      <c r="T88" s="141" t="s">
        <v>1729</v>
      </c>
      <c r="U88" s="141" t="s">
        <v>1729</v>
      </c>
      <c r="V88" s="141" t="s">
        <v>1729</v>
      </c>
      <c r="W88" s="141" t="s">
        <v>1729</v>
      </c>
      <c r="X88" s="141" t="s">
        <v>1729</v>
      </c>
      <c r="Y88" s="149" t="s">
        <v>1730</v>
      </c>
      <c r="Z88" s="141" t="s">
        <v>1729</v>
      </c>
      <c r="AA88" s="141" t="s">
        <v>1729</v>
      </c>
      <c r="AB88" s="141" t="s">
        <v>1729</v>
      </c>
      <c r="AC88" s="141" t="s">
        <v>1729</v>
      </c>
      <c r="AD88" s="141" t="s">
        <v>1729</v>
      </c>
      <c r="AE88" s="141" t="s">
        <v>1729</v>
      </c>
      <c r="AF88" s="149" t="s">
        <v>1730</v>
      </c>
      <c r="AG88" s="141" t="s">
        <v>1729</v>
      </c>
      <c r="AH88" s="141" t="s">
        <v>1729</v>
      </c>
      <c r="AI88" s="141" t="s">
        <v>1729</v>
      </c>
      <c r="AJ88" s="143">
        <v>27</v>
      </c>
    </row>
    <row r="89" spans="1:36" x14ac:dyDescent="0.25">
      <c r="A89" s="144">
        <v>85</v>
      </c>
      <c r="B89" s="142" t="s">
        <v>1908</v>
      </c>
      <c r="C89" s="142" t="s">
        <v>1302</v>
      </c>
      <c r="D89" s="141" t="s">
        <v>1909</v>
      </c>
      <c r="E89" s="155">
        <v>43009</v>
      </c>
      <c r="F89" s="141" t="s">
        <v>1039</v>
      </c>
      <c r="G89" s="141" t="s">
        <v>1742</v>
      </c>
      <c r="H89" s="141" t="s">
        <v>1729</v>
      </c>
      <c r="I89" s="141" t="s">
        <v>1729</v>
      </c>
      <c r="J89" s="141" t="s">
        <v>1729</v>
      </c>
      <c r="K89" s="149" t="s">
        <v>1730</v>
      </c>
      <c r="L89" s="141" t="s">
        <v>1729</v>
      </c>
      <c r="M89" s="141" t="s">
        <v>1729</v>
      </c>
      <c r="N89" s="141" t="s">
        <v>1729</v>
      </c>
      <c r="O89" s="141" t="s">
        <v>1729</v>
      </c>
      <c r="P89" s="141" t="s">
        <v>1734</v>
      </c>
      <c r="Q89" s="141" t="s">
        <v>1729</v>
      </c>
      <c r="R89" s="149" t="s">
        <v>1730</v>
      </c>
      <c r="S89" s="141" t="s">
        <v>1729</v>
      </c>
      <c r="T89" s="141" t="s">
        <v>1729</v>
      </c>
      <c r="U89" s="141" t="s">
        <v>1729</v>
      </c>
      <c r="V89" s="141" t="s">
        <v>1729</v>
      </c>
      <c r="W89" s="141" t="s">
        <v>1729</v>
      </c>
      <c r="X89" s="141" t="s">
        <v>1729</v>
      </c>
      <c r="Y89" s="149" t="s">
        <v>1730</v>
      </c>
      <c r="Z89" s="141" t="s">
        <v>1729</v>
      </c>
      <c r="AA89" s="141" t="s">
        <v>1729</v>
      </c>
      <c r="AB89" s="141" t="s">
        <v>1729</v>
      </c>
      <c r="AC89" s="141" t="s">
        <v>1729</v>
      </c>
      <c r="AD89" s="141" t="s">
        <v>1729</v>
      </c>
      <c r="AE89" s="141" t="s">
        <v>1729</v>
      </c>
      <c r="AF89" s="149" t="s">
        <v>1730</v>
      </c>
      <c r="AG89" s="141" t="s">
        <v>1729</v>
      </c>
      <c r="AH89" s="141" t="s">
        <v>1729</v>
      </c>
      <c r="AI89" s="141" t="s">
        <v>1729</v>
      </c>
      <c r="AJ89" s="143">
        <v>27</v>
      </c>
    </row>
    <row r="90" spans="1:36" x14ac:dyDescent="0.25">
      <c r="AJ90" s="145">
        <v>2077</v>
      </c>
    </row>
  </sheetData>
  <conditionalFormatting sqref="D5">
    <cfRule type="duplicateValues" dxfId="850" priority="771"/>
  </conditionalFormatting>
  <conditionalFormatting sqref="D5">
    <cfRule type="duplicateValues" dxfId="849" priority="769"/>
    <cfRule type="duplicateValues" dxfId="848" priority="770"/>
  </conditionalFormatting>
  <conditionalFormatting sqref="D6">
    <cfRule type="duplicateValues" dxfId="847" priority="768"/>
  </conditionalFormatting>
  <conditionalFormatting sqref="D6">
    <cfRule type="duplicateValues" dxfId="846" priority="766"/>
    <cfRule type="duplicateValues" dxfId="845" priority="767"/>
  </conditionalFormatting>
  <conditionalFormatting sqref="D7">
    <cfRule type="duplicateValues" dxfId="844" priority="765"/>
  </conditionalFormatting>
  <conditionalFormatting sqref="D7">
    <cfRule type="duplicateValues" dxfId="843" priority="763"/>
    <cfRule type="duplicateValues" dxfId="842" priority="764"/>
  </conditionalFormatting>
  <conditionalFormatting sqref="D8">
    <cfRule type="duplicateValues" dxfId="841" priority="762"/>
  </conditionalFormatting>
  <conditionalFormatting sqref="D8">
    <cfRule type="duplicateValues" dxfId="840" priority="760"/>
    <cfRule type="duplicateValues" dxfId="839" priority="761"/>
  </conditionalFormatting>
  <conditionalFormatting sqref="D9">
    <cfRule type="duplicateValues" dxfId="838" priority="759"/>
  </conditionalFormatting>
  <conditionalFormatting sqref="D9">
    <cfRule type="duplicateValues" dxfId="837" priority="757"/>
    <cfRule type="duplicateValues" dxfId="836" priority="758"/>
  </conditionalFormatting>
  <conditionalFormatting sqref="D11">
    <cfRule type="duplicateValues" dxfId="835" priority="756"/>
  </conditionalFormatting>
  <conditionalFormatting sqref="D11">
    <cfRule type="duplicateValues" dxfId="834" priority="754"/>
    <cfRule type="duplicateValues" dxfId="833" priority="755"/>
  </conditionalFormatting>
  <conditionalFormatting sqref="D10">
    <cfRule type="duplicateValues" dxfId="832" priority="753"/>
  </conditionalFormatting>
  <conditionalFormatting sqref="D10">
    <cfRule type="duplicateValues" dxfId="831" priority="751"/>
    <cfRule type="duplicateValues" dxfId="830" priority="752"/>
  </conditionalFormatting>
  <conditionalFormatting sqref="D20">
    <cfRule type="duplicateValues" dxfId="829" priority="750"/>
  </conditionalFormatting>
  <conditionalFormatting sqref="D20">
    <cfRule type="duplicateValues" dxfId="828" priority="748"/>
    <cfRule type="duplicateValues" dxfId="827" priority="749"/>
  </conditionalFormatting>
  <conditionalFormatting sqref="D12">
    <cfRule type="duplicateValues" dxfId="826" priority="747"/>
  </conditionalFormatting>
  <conditionalFormatting sqref="D12">
    <cfRule type="duplicateValues" dxfId="825" priority="745"/>
    <cfRule type="duplicateValues" dxfId="824" priority="746"/>
  </conditionalFormatting>
  <conditionalFormatting sqref="D18">
    <cfRule type="duplicateValues" dxfId="823" priority="744"/>
  </conditionalFormatting>
  <conditionalFormatting sqref="D18">
    <cfRule type="duplicateValues" dxfId="822" priority="742"/>
    <cfRule type="duplicateValues" dxfId="821" priority="743"/>
  </conditionalFormatting>
  <conditionalFormatting sqref="D14">
    <cfRule type="duplicateValues" dxfId="820" priority="741"/>
  </conditionalFormatting>
  <conditionalFormatting sqref="D14">
    <cfRule type="duplicateValues" dxfId="819" priority="739"/>
    <cfRule type="duplicateValues" dxfId="818" priority="740"/>
  </conditionalFormatting>
  <conditionalFormatting sqref="D13">
    <cfRule type="duplicateValues" dxfId="817" priority="738"/>
  </conditionalFormatting>
  <conditionalFormatting sqref="D13">
    <cfRule type="duplicateValues" dxfId="816" priority="736"/>
    <cfRule type="duplicateValues" dxfId="815" priority="737"/>
  </conditionalFormatting>
  <conditionalFormatting sqref="D16">
    <cfRule type="duplicateValues" dxfId="814" priority="735"/>
  </conditionalFormatting>
  <conditionalFormatting sqref="D16">
    <cfRule type="duplicateValues" dxfId="813" priority="733"/>
    <cfRule type="duplicateValues" dxfId="812" priority="734"/>
  </conditionalFormatting>
  <conditionalFormatting sqref="D17">
    <cfRule type="duplicateValues" dxfId="811" priority="732"/>
  </conditionalFormatting>
  <conditionalFormatting sqref="D17">
    <cfRule type="duplicateValues" dxfId="810" priority="730"/>
    <cfRule type="duplicateValues" dxfId="809" priority="731"/>
  </conditionalFormatting>
  <conditionalFormatting sqref="D15">
    <cfRule type="duplicateValues" dxfId="808" priority="729"/>
  </conditionalFormatting>
  <conditionalFormatting sqref="D15">
    <cfRule type="duplicateValues" dxfId="807" priority="727"/>
    <cfRule type="duplicateValues" dxfId="806" priority="728"/>
  </conditionalFormatting>
  <conditionalFormatting sqref="D22:D26">
    <cfRule type="duplicateValues" dxfId="805" priority="726"/>
  </conditionalFormatting>
  <conditionalFormatting sqref="D22:D26">
    <cfRule type="duplicateValues" dxfId="804" priority="724"/>
    <cfRule type="duplicateValues" dxfId="803" priority="725"/>
  </conditionalFormatting>
  <conditionalFormatting sqref="D21">
    <cfRule type="duplicateValues" dxfId="802" priority="723"/>
  </conditionalFormatting>
  <conditionalFormatting sqref="D21">
    <cfRule type="duplicateValues" dxfId="801" priority="721"/>
    <cfRule type="duplicateValues" dxfId="800" priority="722"/>
  </conditionalFormatting>
  <conditionalFormatting sqref="B6">
    <cfRule type="duplicateValues" dxfId="799" priority="720"/>
  </conditionalFormatting>
  <conditionalFormatting sqref="B6">
    <cfRule type="duplicateValues" dxfId="798" priority="718"/>
    <cfRule type="duplicateValues" dxfId="797" priority="719"/>
  </conditionalFormatting>
  <conditionalFormatting sqref="B7">
    <cfRule type="duplicateValues" dxfId="796" priority="717"/>
  </conditionalFormatting>
  <conditionalFormatting sqref="B7">
    <cfRule type="duplicateValues" dxfId="795" priority="715"/>
    <cfRule type="duplicateValues" dxfId="794" priority="716"/>
  </conditionalFormatting>
  <conditionalFormatting sqref="B8">
    <cfRule type="duplicateValues" dxfId="793" priority="714"/>
  </conditionalFormatting>
  <conditionalFormatting sqref="B8">
    <cfRule type="duplicateValues" dxfId="792" priority="712"/>
    <cfRule type="duplicateValues" dxfId="791" priority="713"/>
  </conditionalFormatting>
  <conditionalFormatting sqref="B9">
    <cfRule type="duplicateValues" dxfId="790" priority="711"/>
  </conditionalFormatting>
  <conditionalFormatting sqref="B9">
    <cfRule type="duplicateValues" dxfId="789" priority="709"/>
    <cfRule type="duplicateValues" dxfId="788" priority="710"/>
  </conditionalFormatting>
  <conditionalFormatting sqref="B11">
    <cfRule type="duplicateValues" dxfId="787" priority="708"/>
  </conditionalFormatting>
  <conditionalFormatting sqref="B11">
    <cfRule type="duplicateValues" dxfId="786" priority="706"/>
    <cfRule type="duplicateValues" dxfId="785" priority="707"/>
  </conditionalFormatting>
  <conditionalFormatting sqref="B10">
    <cfRule type="duplicateValues" dxfId="784" priority="705"/>
  </conditionalFormatting>
  <conditionalFormatting sqref="B10">
    <cfRule type="duplicateValues" dxfId="783" priority="703"/>
    <cfRule type="duplicateValues" dxfId="782" priority="704"/>
  </conditionalFormatting>
  <conditionalFormatting sqref="B20">
    <cfRule type="duplicateValues" dxfId="781" priority="702"/>
  </conditionalFormatting>
  <conditionalFormatting sqref="B20">
    <cfRule type="duplicateValues" dxfId="780" priority="700"/>
    <cfRule type="duplicateValues" dxfId="779" priority="701"/>
  </conditionalFormatting>
  <conditionalFormatting sqref="B12">
    <cfRule type="duplicateValues" dxfId="778" priority="699"/>
  </conditionalFormatting>
  <conditionalFormatting sqref="B12">
    <cfRule type="duplicateValues" dxfId="777" priority="697"/>
    <cfRule type="duplicateValues" dxfId="776" priority="698"/>
  </conditionalFormatting>
  <conditionalFormatting sqref="B18">
    <cfRule type="duplicateValues" dxfId="775" priority="696"/>
  </conditionalFormatting>
  <conditionalFormatting sqref="B18">
    <cfRule type="duplicateValues" dxfId="774" priority="694"/>
    <cfRule type="duplicateValues" dxfId="773" priority="695"/>
  </conditionalFormatting>
  <conditionalFormatting sqref="B14">
    <cfRule type="duplicateValues" dxfId="772" priority="693"/>
  </conditionalFormatting>
  <conditionalFormatting sqref="B14">
    <cfRule type="duplicateValues" dxfId="771" priority="691"/>
    <cfRule type="duplicateValues" dxfId="770" priority="692"/>
  </conditionalFormatting>
  <conditionalFormatting sqref="B13">
    <cfRule type="duplicateValues" dxfId="769" priority="690"/>
  </conditionalFormatting>
  <conditionalFormatting sqref="B13">
    <cfRule type="duplicateValues" dxfId="768" priority="688"/>
    <cfRule type="duplicateValues" dxfId="767" priority="689"/>
  </conditionalFormatting>
  <conditionalFormatting sqref="B16">
    <cfRule type="duplicateValues" dxfId="766" priority="687"/>
  </conditionalFormatting>
  <conditionalFormatting sqref="B16">
    <cfRule type="duplicateValues" dxfId="765" priority="685"/>
    <cfRule type="duplicateValues" dxfId="764" priority="686"/>
  </conditionalFormatting>
  <conditionalFormatting sqref="B17">
    <cfRule type="duplicateValues" dxfId="763" priority="684"/>
  </conditionalFormatting>
  <conditionalFormatting sqref="B17">
    <cfRule type="duplicateValues" dxfId="762" priority="682"/>
    <cfRule type="duplicateValues" dxfId="761" priority="683"/>
  </conditionalFormatting>
  <conditionalFormatting sqref="B15">
    <cfRule type="duplicateValues" dxfId="760" priority="681"/>
  </conditionalFormatting>
  <conditionalFormatting sqref="B15">
    <cfRule type="duplicateValues" dxfId="759" priority="679"/>
    <cfRule type="duplicateValues" dxfId="758" priority="680"/>
  </conditionalFormatting>
  <conditionalFormatting sqref="B22:B26">
    <cfRule type="duplicateValues" dxfId="757" priority="678"/>
  </conditionalFormatting>
  <conditionalFormatting sqref="B22:B26">
    <cfRule type="duplicateValues" dxfId="756" priority="676"/>
    <cfRule type="duplicateValues" dxfId="755" priority="677"/>
  </conditionalFormatting>
  <conditionalFormatting sqref="B21">
    <cfRule type="duplicateValues" dxfId="754" priority="675"/>
  </conditionalFormatting>
  <conditionalFormatting sqref="B21">
    <cfRule type="duplicateValues" dxfId="753" priority="673"/>
    <cfRule type="duplicateValues" dxfId="752" priority="674"/>
  </conditionalFormatting>
  <conditionalFormatting sqref="D23">
    <cfRule type="duplicateValues" dxfId="751" priority="672"/>
  </conditionalFormatting>
  <conditionalFormatting sqref="B23">
    <cfRule type="duplicateValues" dxfId="750" priority="671"/>
  </conditionalFormatting>
  <conditionalFormatting sqref="D5">
    <cfRule type="duplicateValues" dxfId="749" priority="670"/>
  </conditionalFormatting>
  <conditionalFormatting sqref="D5">
    <cfRule type="duplicateValues" dxfId="748" priority="668"/>
    <cfRule type="duplicateValues" dxfId="747" priority="669"/>
  </conditionalFormatting>
  <conditionalFormatting sqref="D6">
    <cfRule type="duplicateValues" dxfId="746" priority="667"/>
  </conditionalFormatting>
  <conditionalFormatting sqref="D6">
    <cfRule type="duplicateValues" dxfId="745" priority="665"/>
    <cfRule type="duplicateValues" dxfId="744" priority="666"/>
  </conditionalFormatting>
  <conditionalFormatting sqref="D7">
    <cfRule type="duplicateValues" dxfId="743" priority="664"/>
  </conditionalFormatting>
  <conditionalFormatting sqref="D7">
    <cfRule type="duplicateValues" dxfId="742" priority="662"/>
    <cfRule type="duplicateValues" dxfId="741" priority="663"/>
  </conditionalFormatting>
  <conditionalFormatting sqref="D8">
    <cfRule type="duplicateValues" dxfId="740" priority="661"/>
  </conditionalFormatting>
  <conditionalFormatting sqref="D8">
    <cfRule type="duplicateValues" dxfId="739" priority="659"/>
    <cfRule type="duplicateValues" dxfId="738" priority="660"/>
  </conditionalFormatting>
  <conditionalFormatting sqref="D9">
    <cfRule type="duplicateValues" dxfId="737" priority="658"/>
  </conditionalFormatting>
  <conditionalFormatting sqref="D9">
    <cfRule type="duplicateValues" dxfId="736" priority="656"/>
    <cfRule type="duplicateValues" dxfId="735" priority="657"/>
  </conditionalFormatting>
  <conditionalFormatting sqref="D11">
    <cfRule type="duplicateValues" dxfId="734" priority="655"/>
  </conditionalFormatting>
  <conditionalFormatting sqref="D11">
    <cfRule type="duplicateValues" dxfId="733" priority="653"/>
    <cfRule type="duplicateValues" dxfId="732" priority="654"/>
  </conditionalFormatting>
  <conditionalFormatting sqref="D10">
    <cfRule type="duplicateValues" dxfId="731" priority="652"/>
  </conditionalFormatting>
  <conditionalFormatting sqref="D10">
    <cfRule type="duplicateValues" dxfId="730" priority="650"/>
    <cfRule type="duplicateValues" dxfId="729" priority="651"/>
  </conditionalFormatting>
  <conditionalFormatting sqref="D20">
    <cfRule type="duplicateValues" dxfId="728" priority="649"/>
  </conditionalFormatting>
  <conditionalFormatting sqref="D20">
    <cfRule type="duplicateValues" dxfId="727" priority="647"/>
    <cfRule type="duplicateValues" dxfId="726" priority="648"/>
  </conditionalFormatting>
  <conditionalFormatting sqref="D12">
    <cfRule type="duplicateValues" dxfId="725" priority="646"/>
  </conditionalFormatting>
  <conditionalFormatting sqref="D12">
    <cfRule type="duplicateValues" dxfId="724" priority="644"/>
    <cfRule type="duplicateValues" dxfId="723" priority="645"/>
  </conditionalFormatting>
  <conditionalFormatting sqref="D18">
    <cfRule type="duplicateValues" dxfId="722" priority="643"/>
  </conditionalFormatting>
  <conditionalFormatting sqref="D18">
    <cfRule type="duplicateValues" dxfId="721" priority="641"/>
    <cfRule type="duplicateValues" dxfId="720" priority="642"/>
  </conditionalFormatting>
  <conditionalFormatting sqref="D14">
    <cfRule type="duplicateValues" dxfId="719" priority="640"/>
  </conditionalFormatting>
  <conditionalFormatting sqref="D14">
    <cfRule type="duplicateValues" dxfId="718" priority="638"/>
    <cfRule type="duplicateValues" dxfId="717" priority="639"/>
  </conditionalFormatting>
  <conditionalFormatting sqref="D13">
    <cfRule type="duplicateValues" dxfId="716" priority="637"/>
  </conditionalFormatting>
  <conditionalFormatting sqref="D13">
    <cfRule type="duplicateValues" dxfId="715" priority="635"/>
    <cfRule type="duplicateValues" dxfId="714" priority="636"/>
  </conditionalFormatting>
  <conditionalFormatting sqref="D16">
    <cfRule type="duplicateValues" dxfId="713" priority="634"/>
  </conditionalFormatting>
  <conditionalFormatting sqref="D16">
    <cfRule type="duplicateValues" dxfId="712" priority="632"/>
    <cfRule type="duplicateValues" dxfId="711" priority="633"/>
  </conditionalFormatting>
  <conditionalFormatting sqref="D17">
    <cfRule type="duplicateValues" dxfId="710" priority="631"/>
  </conditionalFormatting>
  <conditionalFormatting sqref="D17">
    <cfRule type="duplicateValues" dxfId="709" priority="629"/>
    <cfRule type="duplicateValues" dxfId="708" priority="630"/>
  </conditionalFormatting>
  <conditionalFormatting sqref="D15">
    <cfRule type="duplicateValues" dxfId="707" priority="628"/>
  </conditionalFormatting>
  <conditionalFormatting sqref="D15">
    <cfRule type="duplicateValues" dxfId="706" priority="626"/>
    <cfRule type="duplicateValues" dxfId="705" priority="627"/>
  </conditionalFormatting>
  <conditionalFormatting sqref="D22:D26">
    <cfRule type="duplicateValues" dxfId="704" priority="625"/>
  </conditionalFormatting>
  <conditionalFormatting sqref="D22:D26">
    <cfRule type="duplicateValues" dxfId="703" priority="623"/>
    <cfRule type="duplicateValues" dxfId="702" priority="624"/>
  </conditionalFormatting>
  <conditionalFormatting sqref="D21">
    <cfRule type="duplicateValues" dxfId="701" priority="622"/>
  </conditionalFormatting>
  <conditionalFormatting sqref="D21">
    <cfRule type="duplicateValues" dxfId="700" priority="620"/>
    <cfRule type="duplicateValues" dxfId="699" priority="621"/>
  </conditionalFormatting>
  <conditionalFormatting sqref="D23">
    <cfRule type="duplicateValues" dxfId="698" priority="619"/>
  </conditionalFormatting>
  <conditionalFormatting sqref="B6">
    <cfRule type="duplicateValues" dxfId="697" priority="618"/>
  </conditionalFormatting>
  <conditionalFormatting sqref="B6">
    <cfRule type="duplicateValues" dxfId="696" priority="616"/>
    <cfRule type="duplicateValues" dxfId="695" priority="617"/>
  </conditionalFormatting>
  <conditionalFormatting sqref="B7">
    <cfRule type="duplicateValues" dxfId="694" priority="615"/>
  </conditionalFormatting>
  <conditionalFormatting sqref="B7">
    <cfRule type="duplicateValues" dxfId="693" priority="613"/>
    <cfRule type="duplicateValues" dxfId="692" priority="614"/>
  </conditionalFormatting>
  <conditionalFormatting sqref="B8">
    <cfRule type="duplicateValues" dxfId="691" priority="612"/>
  </conditionalFormatting>
  <conditionalFormatting sqref="B8">
    <cfRule type="duplicateValues" dxfId="690" priority="610"/>
    <cfRule type="duplicateValues" dxfId="689" priority="611"/>
  </conditionalFormatting>
  <conditionalFormatting sqref="B9">
    <cfRule type="duplicateValues" dxfId="688" priority="609"/>
  </conditionalFormatting>
  <conditionalFormatting sqref="B9">
    <cfRule type="duplicateValues" dxfId="687" priority="607"/>
    <cfRule type="duplicateValues" dxfId="686" priority="608"/>
  </conditionalFormatting>
  <conditionalFormatting sqref="B11">
    <cfRule type="duplicateValues" dxfId="685" priority="606"/>
  </conditionalFormatting>
  <conditionalFormatting sqref="B11">
    <cfRule type="duplicateValues" dxfId="684" priority="604"/>
    <cfRule type="duplicateValues" dxfId="683" priority="605"/>
  </conditionalFormatting>
  <conditionalFormatting sqref="B10">
    <cfRule type="duplicateValues" dxfId="682" priority="603"/>
  </conditionalFormatting>
  <conditionalFormatting sqref="B10">
    <cfRule type="duplicateValues" dxfId="681" priority="601"/>
    <cfRule type="duplicateValues" dxfId="680" priority="602"/>
  </conditionalFormatting>
  <conditionalFormatting sqref="B20">
    <cfRule type="duplicateValues" dxfId="679" priority="600"/>
  </conditionalFormatting>
  <conditionalFormatting sqref="B20">
    <cfRule type="duplicateValues" dxfId="678" priority="598"/>
    <cfRule type="duplicateValues" dxfId="677" priority="599"/>
  </conditionalFormatting>
  <conditionalFormatting sqref="B12">
    <cfRule type="duplicateValues" dxfId="676" priority="597"/>
  </conditionalFormatting>
  <conditionalFormatting sqref="B12">
    <cfRule type="duplicateValues" dxfId="675" priority="595"/>
    <cfRule type="duplicateValues" dxfId="674" priority="596"/>
  </conditionalFormatting>
  <conditionalFormatting sqref="B18">
    <cfRule type="duplicateValues" dxfId="673" priority="594"/>
  </conditionalFormatting>
  <conditionalFormatting sqref="B18">
    <cfRule type="duplicateValues" dxfId="672" priority="592"/>
    <cfRule type="duplicateValues" dxfId="671" priority="593"/>
  </conditionalFormatting>
  <conditionalFormatting sqref="B14">
    <cfRule type="duplicateValues" dxfId="670" priority="591"/>
  </conditionalFormatting>
  <conditionalFormatting sqref="B14">
    <cfRule type="duplicateValues" dxfId="669" priority="589"/>
    <cfRule type="duplicateValues" dxfId="668" priority="590"/>
  </conditionalFormatting>
  <conditionalFormatting sqref="B13">
    <cfRule type="duplicateValues" dxfId="667" priority="588"/>
  </conditionalFormatting>
  <conditionalFormatting sqref="B13">
    <cfRule type="duplicateValues" dxfId="666" priority="586"/>
    <cfRule type="duplicateValues" dxfId="665" priority="587"/>
  </conditionalFormatting>
  <conditionalFormatting sqref="B16">
    <cfRule type="duplicateValues" dxfId="664" priority="585"/>
  </conditionalFormatting>
  <conditionalFormatting sqref="B16">
    <cfRule type="duplicateValues" dxfId="663" priority="583"/>
    <cfRule type="duplicateValues" dxfId="662" priority="584"/>
  </conditionalFormatting>
  <conditionalFormatting sqref="B17">
    <cfRule type="duplicateValues" dxfId="661" priority="582"/>
  </conditionalFormatting>
  <conditionalFormatting sqref="B17">
    <cfRule type="duplicateValues" dxfId="660" priority="580"/>
    <cfRule type="duplicateValues" dxfId="659" priority="581"/>
  </conditionalFormatting>
  <conditionalFormatting sqref="B15">
    <cfRule type="duplicateValues" dxfId="658" priority="579"/>
  </conditionalFormatting>
  <conditionalFormatting sqref="B15">
    <cfRule type="duplicateValues" dxfId="657" priority="577"/>
    <cfRule type="duplicateValues" dxfId="656" priority="578"/>
  </conditionalFormatting>
  <conditionalFormatting sqref="B22:B26">
    <cfRule type="duplicateValues" dxfId="655" priority="576"/>
  </conditionalFormatting>
  <conditionalFormatting sqref="B22:B26">
    <cfRule type="duplicateValues" dxfId="654" priority="574"/>
    <cfRule type="duplicateValues" dxfId="653" priority="575"/>
  </conditionalFormatting>
  <conditionalFormatting sqref="B21">
    <cfRule type="duplicateValues" dxfId="652" priority="573"/>
  </conditionalFormatting>
  <conditionalFormatting sqref="B21">
    <cfRule type="duplicateValues" dxfId="651" priority="571"/>
    <cfRule type="duplicateValues" dxfId="650" priority="572"/>
  </conditionalFormatting>
  <conditionalFormatting sqref="B23">
    <cfRule type="duplicateValues" dxfId="649" priority="570"/>
  </conditionalFormatting>
  <conditionalFormatting sqref="D27">
    <cfRule type="duplicateValues" dxfId="648" priority="569"/>
  </conditionalFormatting>
  <conditionalFormatting sqref="D27">
    <cfRule type="duplicateValues" dxfId="647" priority="567"/>
    <cfRule type="duplicateValues" dxfId="646" priority="568"/>
  </conditionalFormatting>
  <conditionalFormatting sqref="D28">
    <cfRule type="duplicateValues" dxfId="645" priority="566"/>
  </conditionalFormatting>
  <conditionalFormatting sqref="D28">
    <cfRule type="duplicateValues" dxfId="644" priority="564"/>
    <cfRule type="duplicateValues" dxfId="643" priority="565"/>
  </conditionalFormatting>
  <conditionalFormatting sqref="D29">
    <cfRule type="duplicateValues" dxfId="642" priority="563"/>
  </conditionalFormatting>
  <conditionalFormatting sqref="D29">
    <cfRule type="duplicateValues" dxfId="641" priority="561"/>
    <cfRule type="duplicateValues" dxfId="640" priority="562"/>
  </conditionalFormatting>
  <conditionalFormatting sqref="D30">
    <cfRule type="duplicateValues" dxfId="639" priority="560"/>
  </conditionalFormatting>
  <conditionalFormatting sqref="D30">
    <cfRule type="duplicateValues" dxfId="638" priority="558"/>
    <cfRule type="duplicateValues" dxfId="637" priority="559"/>
  </conditionalFormatting>
  <conditionalFormatting sqref="D31">
    <cfRule type="duplicateValues" dxfId="636" priority="557"/>
  </conditionalFormatting>
  <conditionalFormatting sqref="D31">
    <cfRule type="duplicateValues" dxfId="635" priority="555"/>
    <cfRule type="duplicateValues" dxfId="634" priority="556"/>
  </conditionalFormatting>
  <conditionalFormatting sqref="D32">
    <cfRule type="duplicateValues" dxfId="633" priority="554"/>
  </conditionalFormatting>
  <conditionalFormatting sqref="D32">
    <cfRule type="duplicateValues" dxfId="632" priority="552"/>
    <cfRule type="duplicateValues" dxfId="631" priority="553"/>
  </conditionalFormatting>
  <conditionalFormatting sqref="B27">
    <cfRule type="duplicateValues" dxfId="630" priority="551"/>
  </conditionalFormatting>
  <conditionalFormatting sqref="B27">
    <cfRule type="duplicateValues" dxfId="629" priority="549"/>
    <cfRule type="duplicateValues" dxfId="628" priority="550"/>
  </conditionalFormatting>
  <conditionalFormatting sqref="B28">
    <cfRule type="duplicateValues" dxfId="627" priority="548"/>
  </conditionalFormatting>
  <conditionalFormatting sqref="B28">
    <cfRule type="duplicateValues" dxfId="626" priority="546"/>
    <cfRule type="duplicateValues" dxfId="625" priority="547"/>
  </conditionalFormatting>
  <conditionalFormatting sqref="B29">
    <cfRule type="duplicateValues" dxfId="624" priority="545"/>
  </conditionalFormatting>
  <conditionalFormatting sqref="B29">
    <cfRule type="duplicateValues" dxfId="623" priority="543"/>
    <cfRule type="duplicateValues" dxfId="622" priority="544"/>
  </conditionalFormatting>
  <conditionalFormatting sqref="B30">
    <cfRule type="duplicateValues" dxfId="621" priority="542"/>
  </conditionalFormatting>
  <conditionalFormatting sqref="B30">
    <cfRule type="duplicateValues" dxfId="620" priority="540"/>
    <cfRule type="duplicateValues" dxfId="619" priority="541"/>
  </conditionalFormatting>
  <conditionalFormatting sqref="B31">
    <cfRule type="duplicateValues" dxfId="618" priority="539"/>
  </conditionalFormatting>
  <conditionalFormatting sqref="B31">
    <cfRule type="duplicateValues" dxfId="617" priority="537"/>
    <cfRule type="duplicateValues" dxfId="616" priority="538"/>
  </conditionalFormatting>
  <conditionalFormatting sqref="B32">
    <cfRule type="duplicateValues" dxfId="615" priority="536"/>
  </conditionalFormatting>
  <conditionalFormatting sqref="B32">
    <cfRule type="duplicateValues" dxfId="614" priority="534"/>
    <cfRule type="duplicateValues" dxfId="613" priority="535"/>
  </conditionalFormatting>
  <conditionalFormatting sqref="D33">
    <cfRule type="duplicateValues" dxfId="612" priority="533"/>
  </conditionalFormatting>
  <conditionalFormatting sqref="D34">
    <cfRule type="duplicateValues" dxfId="611" priority="532"/>
  </conditionalFormatting>
  <conditionalFormatting sqref="D34">
    <cfRule type="duplicateValues" dxfId="610" priority="530"/>
    <cfRule type="duplicateValues" dxfId="609" priority="531"/>
  </conditionalFormatting>
  <conditionalFormatting sqref="D35">
    <cfRule type="duplicateValues" dxfId="608" priority="529"/>
  </conditionalFormatting>
  <conditionalFormatting sqref="B33">
    <cfRule type="duplicateValues" dxfId="607" priority="528"/>
  </conditionalFormatting>
  <conditionalFormatting sqref="B34">
    <cfRule type="duplicateValues" dxfId="606" priority="527"/>
  </conditionalFormatting>
  <conditionalFormatting sqref="B34">
    <cfRule type="duplicateValues" dxfId="605" priority="525"/>
    <cfRule type="duplicateValues" dxfId="604" priority="526"/>
  </conditionalFormatting>
  <conditionalFormatting sqref="B35">
    <cfRule type="duplicateValues" dxfId="603" priority="524"/>
  </conditionalFormatting>
  <conditionalFormatting sqref="D40">
    <cfRule type="duplicateValues" dxfId="602" priority="523"/>
  </conditionalFormatting>
  <conditionalFormatting sqref="D41">
    <cfRule type="duplicateValues" dxfId="601" priority="522"/>
  </conditionalFormatting>
  <conditionalFormatting sqref="D41">
    <cfRule type="duplicateValues" dxfId="600" priority="521"/>
  </conditionalFormatting>
  <conditionalFormatting sqref="D43">
    <cfRule type="duplicateValues" dxfId="599" priority="520"/>
  </conditionalFormatting>
  <conditionalFormatting sqref="D43">
    <cfRule type="duplicateValues" dxfId="598" priority="519"/>
  </conditionalFormatting>
  <conditionalFormatting sqref="D44">
    <cfRule type="duplicateValues" dxfId="597" priority="518"/>
  </conditionalFormatting>
  <conditionalFormatting sqref="D46">
    <cfRule type="duplicateValues" dxfId="596" priority="517"/>
  </conditionalFormatting>
  <conditionalFormatting sqref="D48">
    <cfRule type="duplicateValues" dxfId="595" priority="516"/>
  </conditionalFormatting>
  <conditionalFormatting sqref="B40">
    <cfRule type="duplicateValues" dxfId="594" priority="515"/>
  </conditionalFormatting>
  <conditionalFormatting sqref="B41">
    <cfRule type="duplicateValues" dxfId="593" priority="514"/>
  </conditionalFormatting>
  <conditionalFormatting sqref="B41">
    <cfRule type="duplicateValues" dxfId="592" priority="513"/>
  </conditionalFormatting>
  <conditionalFormatting sqref="B43">
    <cfRule type="duplicateValues" dxfId="591" priority="512"/>
  </conditionalFormatting>
  <conditionalFormatting sqref="B44">
    <cfRule type="duplicateValues" dxfId="590" priority="511"/>
  </conditionalFormatting>
  <conditionalFormatting sqref="B46">
    <cfRule type="duplicateValues" dxfId="589" priority="510"/>
  </conditionalFormatting>
  <conditionalFormatting sqref="B48">
    <cfRule type="duplicateValues" dxfId="588" priority="509"/>
  </conditionalFormatting>
  <conditionalFormatting sqref="D42">
    <cfRule type="duplicateValues" dxfId="587" priority="508"/>
  </conditionalFormatting>
  <conditionalFormatting sqref="D49">
    <cfRule type="duplicateValues" dxfId="586" priority="507"/>
  </conditionalFormatting>
  <conditionalFormatting sqref="B49">
    <cfRule type="duplicateValues" dxfId="585" priority="506"/>
  </conditionalFormatting>
  <conditionalFormatting sqref="D50">
    <cfRule type="duplicateValues" dxfId="584" priority="505"/>
  </conditionalFormatting>
  <conditionalFormatting sqref="B50">
    <cfRule type="duplicateValues" dxfId="583" priority="504"/>
  </conditionalFormatting>
  <conditionalFormatting sqref="D54">
    <cfRule type="duplicateValues" dxfId="582" priority="503"/>
  </conditionalFormatting>
  <conditionalFormatting sqref="B54">
    <cfRule type="duplicateValues" dxfId="581" priority="502"/>
  </conditionalFormatting>
  <conditionalFormatting sqref="D56">
    <cfRule type="duplicateValues" dxfId="580" priority="501"/>
  </conditionalFormatting>
  <conditionalFormatting sqref="B56">
    <cfRule type="duplicateValues" dxfId="579" priority="500"/>
  </conditionalFormatting>
  <conditionalFormatting sqref="D57">
    <cfRule type="duplicateValues" dxfId="578" priority="499"/>
  </conditionalFormatting>
  <conditionalFormatting sqref="B57">
    <cfRule type="duplicateValues" dxfId="577" priority="498"/>
  </conditionalFormatting>
  <conditionalFormatting sqref="D33">
    <cfRule type="duplicateValues" dxfId="576" priority="496"/>
    <cfRule type="duplicateValues" dxfId="575" priority="497"/>
  </conditionalFormatting>
  <conditionalFormatting sqref="D35">
    <cfRule type="duplicateValues" dxfId="574" priority="494"/>
    <cfRule type="duplicateValues" dxfId="573" priority="495"/>
  </conditionalFormatting>
  <conditionalFormatting sqref="D36">
    <cfRule type="duplicateValues" dxfId="572" priority="493"/>
  </conditionalFormatting>
  <conditionalFormatting sqref="D36">
    <cfRule type="duplicateValues" dxfId="571" priority="491"/>
    <cfRule type="duplicateValues" dxfId="570" priority="492"/>
  </conditionalFormatting>
  <conditionalFormatting sqref="D37">
    <cfRule type="duplicateValues" dxfId="569" priority="490"/>
  </conditionalFormatting>
  <conditionalFormatting sqref="D37">
    <cfRule type="duplicateValues" dxfId="568" priority="488"/>
    <cfRule type="duplicateValues" dxfId="567" priority="489"/>
  </conditionalFormatting>
  <conditionalFormatting sqref="D38">
    <cfRule type="duplicateValues" dxfId="566" priority="487"/>
  </conditionalFormatting>
  <conditionalFormatting sqref="D38">
    <cfRule type="duplicateValues" dxfId="565" priority="485"/>
    <cfRule type="duplicateValues" dxfId="564" priority="486"/>
  </conditionalFormatting>
  <conditionalFormatting sqref="D39">
    <cfRule type="duplicateValues" dxfId="563" priority="484"/>
  </conditionalFormatting>
  <conditionalFormatting sqref="D39">
    <cfRule type="duplicateValues" dxfId="562" priority="482"/>
    <cfRule type="duplicateValues" dxfId="561" priority="483"/>
  </conditionalFormatting>
  <conditionalFormatting sqref="D40">
    <cfRule type="duplicateValues" dxfId="560" priority="480"/>
    <cfRule type="duplicateValues" dxfId="559" priority="481"/>
  </conditionalFormatting>
  <conditionalFormatting sqref="D41">
    <cfRule type="duplicateValues" dxfId="558" priority="478"/>
    <cfRule type="duplicateValues" dxfId="557" priority="479"/>
  </conditionalFormatting>
  <conditionalFormatting sqref="D42">
    <cfRule type="duplicateValues" dxfId="556" priority="477"/>
  </conditionalFormatting>
  <conditionalFormatting sqref="D42">
    <cfRule type="duplicateValues" dxfId="555" priority="475"/>
    <cfRule type="duplicateValues" dxfId="554" priority="476"/>
  </conditionalFormatting>
  <conditionalFormatting sqref="D43">
    <cfRule type="duplicateValues" dxfId="553" priority="473"/>
    <cfRule type="duplicateValues" dxfId="552" priority="474"/>
  </conditionalFormatting>
  <conditionalFormatting sqref="D44">
    <cfRule type="duplicateValues" dxfId="551" priority="471"/>
    <cfRule type="duplicateValues" dxfId="550" priority="472"/>
  </conditionalFormatting>
  <conditionalFormatting sqref="D45">
    <cfRule type="duplicateValues" dxfId="549" priority="470"/>
  </conditionalFormatting>
  <conditionalFormatting sqref="D45">
    <cfRule type="duplicateValues" dxfId="548" priority="468"/>
    <cfRule type="duplicateValues" dxfId="547" priority="469"/>
  </conditionalFormatting>
  <conditionalFormatting sqref="D46">
    <cfRule type="duplicateValues" dxfId="546" priority="466"/>
    <cfRule type="duplicateValues" dxfId="545" priority="467"/>
  </conditionalFormatting>
  <conditionalFormatting sqref="D56">
    <cfRule type="duplicateValues" dxfId="544" priority="464"/>
    <cfRule type="duplicateValues" dxfId="543" priority="465"/>
  </conditionalFormatting>
  <conditionalFormatting sqref="D57">
    <cfRule type="duplicateValues" dxfId="542" priority="462"/>
    <cfRule type="duplicateValues" dxfId="541" priority="463"/>
  </conditionalFormatting>
  <conditionalFormatting sqref="D66">
    <cfRule type="duplicateValues" dxfId="540" priority="461"/>
  </conditionalFormatting>
  <conditionalFormatting sqref="D66">
    <cfRule type="duplicateValues" dxfId="539" priority="459"/>
    <cfRule type="duplicateValues" dxfId="538" priority="460"/>
  </conditionalFormatting>
  <conditionalFormatting sqref="D58">
    <cfRule type="duplicateValues" dxfId="537" priority="458"/>
  </conditionalFormatting>
  <conditionalFormatting sqref="D58">
    <cfRule type="duplicateValues" dxfId="536" priority="456"/>
    <cfRule type="duplicateValues" dxfId="535" priority="457"/>
  </conditionalFormatting>
  <conditionalFormatting sqref="D59">
    <cfRule type="duplicateValues" dxfId="534" priority="455"/>
  </conditionalFormatting>
  <conditionalFormatting sqref="D59">
    <cfRule type="duplicateValues" dxfId="533" priority="453"/>
    <cfRule type="duplicateValues" dxfId="532" priority="454"/>
  </conditionalFormatting>
  <conditionalFormatting sqref="D60">
    <cfRule type="duplicateValues" dxfId="531" priority="452"/>
  </conditionalFormatting>
  <conditionalFormatting sqref="D60">
    <cfRule type="duplicateValues" dxfId="530" priority="450"/>
    <cfRule type="duplicateValues" dxfId="529" priority="451"/>
  </conditionalFormatting>
  <conditionalFormatting sqref="D61">
    <cfRule type="duplicateValues" dxfId="528" priority="449"/>
  </conditionalFormatting>
  <conditionalFormatting sqref="D61">
    <cfRule type="duplicateValues" dxfId="527" priority="447"/>
    <cfRule type="duplicateValues" dxfId="526" priority="448"/>
  </conditionalFormatting>
  <conditionalFormatting sqref="D62">
    <cfRule type="duplicateValues" dxfId="525" priority="446"/>
  </conditionalFormatting>
  <conditionalFormatting sqref="D62">
    <cfRule type="duplicateValues" dxfId="524" priority="444"/>
    <cfRule type="duplicateValues" dxfId="523" priority="445"/>
  </conditionalFormatting>
  <conditionalFormatting sqref="D63">
    <cfRule type="duplicateValues" dxfId="522" priority="443"/>
  </conditionalFormatting>
  <conditionalFormatting sqref="D63">
    <cfRule type="duplicateValues" dxfId="521" priority="441"/>
    <cfRule type="duplicateValues" dxfId="520" priority="442"/>
  </conditionalFormatting>
  <conditionalFormatting sqref="D68">
    <cfRule type="duplicateValues" dxfId="519" priority="440"/>
  </conditionalFormatting>
  <conditionalFormatting sqref="D68">
    <cfRule type="duplicateValues" dxfId="518" priority="438"/>
    <cfRule type="duplicateValues" dxfId="517" priority="439"/>
  </conditionalFormatting>
  <conditionalFormatting sqref="D69">
    <cfRule type="duplicateValues" dxfId="516" priority="437"/>
  </conditionalFormatting>
  <conditionalFormatting sqref="D69">
    <cfRule type="duplicateValues" dxfId="515" priority="435"/>
    <cfRule type="duplicateValues" dxfId="514" priority="436"/>
  </conditionalFormatting>
  <conditionalFormatting sqref="D70">
    <cfRule type="duplicateValues" dxfId="513" priority="434"/>
  </conditionalFormatting>
  <conditionalFormatting sqref="D70">
    <cfRule type="duplicateValues" dxfId="512" priority="432"/>
    <cfRule type="duplicateValues" dxfId="511" priority="433"/>
  </conditionalFormatting>
  <conditionalFormatting sqref="D71">
    <cfRule type="duplicateValues" dxfId="510" priority="431"/>
  </conditionalFormatting>
  <conditionalFormatting sqref="D71">
    <cfRule type="duplicateValues" dxfId="509" priority="429"/>
    <cfRule type="duplicateValues" dxfId="508" priority="430"/>
  </conditionalFormatting>
  <conditionalFormatting sqref="D73">
    <cfRule type="duplicateValues" dxfId="507" priority="428"/>
  </conditionalFormatting>
  <conditionalFormatting sqref="D52">
    <cfRule type="duplicateValues" dxfId="506" priority="427"/>
  </conditionalFormatting>
  <conditionalFormatting sqref="D53">
    <cfRule type="duplicateValues" dxfId="505" priority="426"/>
  </conditionalFormatting>
  <conditionalFormatting sqref="B33">
    <cfRule type="duplicateValues" dxfId="504" priority="424"/>
    <cfRule type="duplicateValues" dxfId="503" priority="425"/>
  </conditionalFormatting>
  <conditionalFormatting sqref="B35">
    <cfRule type="duplicateValues" dxfId="502" priority="422"/>
    <cfRule type="duplicateValues" dxfId="501" priority="423"/>
  </conditionalFormatting>
  <conditionalFormatting sqref="B36">
    <cfRule type="duplicateValues" dxfId="500" priority="421"/>
  </conditionalFormatting>
  <conditionalFormatting sqref="B36">
    <cfRule type="duplicateValues" dxfId="499" priority="419"/>
    <cfRule type="duplicateValues" dxfId="498" priority="420"/>
  </conditionalFormatting>
  <conditionalFormatting sqref="B37">
    <cfRule type="duplicateValues" dxfId="497" priority="418"/>
  </conditionalFormatting>
  <conditionalFormatting sqref="B37">
    <cfRule type="duplicateValues" dxfId="496" priority="416"/>
    <cfRule type="duplicateValues" dxfId="495" priority="417"/>
  </conditionalFormatting>
  <conditionalFormatting sqref="B38">
    <cfRule type="duplicateValues" dxfId="494" priority="415"/>
  </conditionalFormatting>
  <conditionalFormatting sqref="B38">
    <cfRule type="duplicateValues" dxfId="493" priority="413"/>
    <cfRule type="duplicateValues" dxfId="492" priority="414"/>
  </conditionalFormatting>
  <conditionalFormatting sqref="B39">
    <cfRule type="duplicateValues" dxfId="491" priority="412"/>
  </conditionalFormatting>
  <conditionalFormatting sqref="B39">
    <cfRule type="duplicateValues" dxfId="490" priority="410"/>
    <cfRule type="duplicateValues" dxfId="489" priority="411"/>
  </conditionalFormatting>
  <conditionalFormatting sqref="B40">
    <cfRule type="duplicateValues" dxfId="488" priority="408"/>
    <cfRule type="duplicateValues" dxfId="487" priority="409"/>
  </conditionalFormatting>
  <conditionalFormatting sqref="B41">
    <cfRule type="duplicateValues" dxfId="486" priority="406"/>
    <cfRule type="duplicateValues" dxfId="485" priority="407"/>
  </conditionalFormatting>
  <conditionalFormatting sqref="B42">
    <cfRule type="duplicateValues" dxfId="484" priority="405"/>
  </conditionalFormatting>
  <conditionalFormatting sqref="B42">
    <cfRule type="duplicateValues" dxfId="483" priority="404"/>
  </conditionalFormatting>
  <conditionalFormatting sqref="B42">
    <cfRule type="duplicateValues" dxfId="482" priority="402"/>
    <cfRule type="duplicateValues" dxfId="481" priority="403"/>
  </conditionalFormatting>
  <conditionalFormatting sqref="B43">
    <cfRule type="duplicateValues" dxfId="480" priority="400"/>
    <cfRule type="duplicateValues" dxfId="479" priority="401"/>
  </conditionalFormatting>
  <conditionalFormatting sqref="B44">
    <cfRule type="duplicateValues" dxfId="478" priority="398"/>
    <cfRule type="duplicateValues" dxfId="477" priority="399"/>
  </conditionalFormatting>
  <conditionalFormatting sqref="B45">
    <cfRule type="duplicateValues" dxfId="476" priority="397"/>
  </conditionalFormatting>
  <conditionalFormatting sqref="B45">
    <cfRule type="duplicateValues" dxfId="475" priority="395"/>
    <cfRule type="duplicateValues" dxfId="474" priority="396"/>
  </conditionalFormatting>
  <conditionalFormatting sqref="B46">
    <cfRule type="duplicateValues" dxfId="473" priority="393"/>
    <cfRule type="duplicateValues" dxfId="472" priority="394"/>
  </conditionalFormatting>
  <conditionalFormatting sqref="B56">
    <cfRule type="duplicateValues" dxfId="471" priority="391"/>
    <cfRule type="duplicateValues" dxfId="470" priority="392"/>
  </conditionalFormatting>
  <conditionalFormatting sqref="B57">
    <cfRule type="duplicateValues" dxfId="469" priority="389"/>
    <cfRule type="duplicateValues" dxfId="468" priority="390"/>
  </conditionalFormatting>
  <conditionalFormatting sqref="B66">
    <cfRule type="duplicateValues" dxfId="467" priority="388"/>
  </conditionalFormatting>
  <conditionalFormatting sqref="B66">
    <cfRule type="duplicateValues" dxfId="466" priority="386"/>
    <cfRule type="duplicateValues" dxfId="465" priority="387"/>
  </conditionalFormatting>
  <conditionalFormatting sqref="B58">
    <cfRule type="duplicateValues" dxfId="464" priority="385"/>
  </conditionalFormatting>
  <conditionalFormatting sqref="B58">
    <cfRule type="duplicateValues" dxfId="463" priority="383"/>
    <cfRule type="duplicateValues" dxfId="462" priority="384"/>
  </conditionalFormatting>
  <conditionalFormatting sqref="B59">
    <cfRule type="duplicateValues" dxfId="461" priority="382"/>
  </conditionalFormatting>
  <conditionalFormatting sqref="B59">
    <cfRule type="duplicateValues" dxfId="460" priority="380"/>
    <cfRule type="duplicateValues" dxfId="459" priority="381"/>
  </conditionalFormatting>
  <conditionalFormatting sqref="B60">
    <cfRule type="duplicateValues" dxfId="458" priority="379"/>
  </conditionalFormatting>
  <conditionalFormatting sqref="B60">
    <cfRule type="duplicateValues" dxfId="457" priority="377"/>
    <cfRule type="duplicateValues" dxfId="456" priority="378"/>
  </conditionalFormatting>
  <conditionalFormatting sqref="B61">
    <cfRule type="duplicateValues" dxfId="455" priority="376"/>
  </conditionalFormatting>
  <conditionalFormatting sqref="B61">
    <cfRule type="duplicateValues" dxfId="454" priority="374"/>
    <cfRule type="duplicateValues" dxfId="453" priority="375"/>
  </conditionalFormatting>
  <conditionalFormatting sqref="B62">
    <cfRule type="duplicateValues" dxfId="452" priority="373"/>
  </conditionalFormatting>
  <conditionalFormatting sqref="B62">
    <cfRule type="duplicateValues" dxfId="451" priority="371"/>
    <cfRule type="duplicateValues" dxfId="450" priority="372"/>
  </conditionalFormatting>
  <conditionalFormatting sqref="B63">
    <cfRule type="duplicateValues" dxfId="449" priority="370"/>
  </conditionalFormatting>
  <conditionalFormatting sqref="B63">
    <cfRule type="duplicateValues" dxfId="448" priority="368"/>
    <cfRule type="duplicateValues" dxfId="447" priority="369"/>
  </conditionalFormatting>
  <conditionalFormatting sqref="B68">
    <cfRule type="duplicateValues" dxfId="446" priority="367"/>
  </conditionalFormatting>
  <conditionalFormatting sqref="B68">
    <cfRule type="duplicateValues" dxfId="445" priority="365"/>
    <cfRule type="duplicateValues" dxfId="444" priority="366"/>
  </conditionalFormatting>
  <conditionalFormatting sqref="B69">
    <cfRule type="duplicateValues" dxfId="443" priority="364"/>
  </conditionalFormatting>
  <conditionalFormatting sqref="B69">
    <cfRule type="duplicateValues" dxfId="442" priority="362"/>
    <cfRule type="duplicateValues" dxfId="441" priority="363"/>
  </conditionalFormatting>
  <conditionalFormatting sqref="B70">
    <cfRule type="duplicateValues" dxfId="440" priority="361"/>
  </conditionalFormatting>
  <conditionalFormatting sqref="B70">
    <cfRule type="duplicateValues" dxfId="439" priority="359"/>
    <cfRule type="duplicateValues" dxfId="438" priority="360"/>
  </conditionalFormatting>
  <conditionalFormatting sqref="B71">
    <cfRule type="duplicateValues" dxfId="437" priority="358"/>
  </conditionalFormatting>
  <conditionalFormatting sqref="B71">
    <cfRule type="duplicateValues" dxfId="436" priority="356"/>
    <cfRule type="duplicateValues" dxfId="435" priority="357"/>
  </conditionalFormatting>
  <conditionalFormatting sqref="B73">
    <cfRule type="duplicateValues" dxfId="434" priority="355"/>
  </conditionalFormatting>
  <conditionalFormatting sqref="B52">
    <cfRule type="duplicateValues" dxfId="433" priority="354"/>
  </conditionalFormatting>
  <conditionalFormatting sqref="B53">
    <cfRule type="duplicateValues" dxfId="432" priority="353"/>
  </conditionalFormatting>
  <conditionalFormatting sqref="D65">
    <cfRule type="duplicateValues" dxfId="431" priority="352"/>
  </conditionalFormatting>
  <conditionalFormatting sqref="B65">
    <cfRule type="duplicateValues" dxfId="430" priority="351"/>
  </conditionalFormatting>
  <conditionalFormatting sqref="D33:D35">
    <cfRule type="duplicateValues" dxfId="429" priority="350"/>
  </conditionalFormatting>
  <conditionalFormatting sqref="B33:B35">
    <cfRule type="duplicateValues" dxfId="428" priority="349"/>
  </conditionalFormatting>
  <conditionalFormatting sqref="D49">
    <cfRule type="duplicateValues" dxfId="427" priority="347"/>
    <cfRule type="duplicateValues" dxfId="426" priority="348"/>
  </conditionalFormatting>
  <conditionalFormatting sqref="B49">
    <cfRule type="duplicateValues" dxfId="425" priority="345"/>
    <cfRule type="duplicateValues" dxfId="424" priority="346"/>
  </conditionalFormatting>
  <conditionalFormatting sqref="D47">
    <cfRule type="duplicateValues" dxfId="423" priority="344"/>
  </conditionalFormatting>
  <conditionalFormatting sqref="B47">
    <cfRule type="duplicateValues" dxfId="422" priority="343"/>
  </conditionalFormatting>
  <conditionalFormatting sqref="D51">
    <cfRule type="duplicateValues" dxfId="421" priority="342"/>
  </conditionalFormatting>
  <conditionalFormatting sqref="B51">
    <cfRule type="duplicateValues" dxfId="420" priority="341"/>
  </conditionalFormatting>
  <conditionalFormatting sqref="D51">
    <cfRule type="duplicateValues" dxfId="419" priority="339"/>
    <cfRule type="duplicateValues" dxfId="418" priority="340"/>
  </conditionalFormatting>
  <conditionalFormatting sqref="B51">
    <cfRule type="duplicateValues" dxfId="417" priority="337"/>
    <cfRule type="duplicateValues" dxfId="416" priority="338"/>
  </conditionalFormatting>
  <conditionalFormatting sqref="D54">
    <cfRule type="duplicateValues" dxfId="415" priority="335"/>
    <cfRule type="duplicateValues" dxfId="414" priority="336"/>
  </conditionalFormatting>
  <conditionalFormatting sqref="B54">
    <cfRule type="duplicateValues" dxfId="413" priority="333"/>
    <cfRule type="duplicateValues" dxfId="412" priority="334"/>
  </conditionalFormatting>
  <conditionalFormatting sqref="D67">
    <cfRule type="duplicateValues" dxfId="411" priority="332"/>
  </conditionalFormatting>
  <conditionalFormatting sqref="D73">
    <cfRule type="duplicateValues" dxfId="410" priority="331"/>
  </conditionalFormatting>
  <conditionalFormatting sqref="B73">
    <cfRule type="duplicateValues" dxfId="409" priority="330"/>
  </conditionalFormatting>
  <conditionalFormatting sqref="D24:D26">
    <cfRule type="duplicateValues" dxfId="408" priority="329"/>
  </conditionalFormatting>
  <conditionalFormatting sqref="B24:B26">
    <cfRule type="duplicateValues" dxfId="407" priority="328"/>
  </conditionalFormatting>
  <conditionalFormatting sqref="D27">
    <cfRule type="duplicateValues" dxfId="406" priority="327"/>
  </conditionalFormatting>
  <conditionalFormatting sqref="D27">
    <cfRule type="duplicateValues" dxfId="405" priority="325"/>
    <cfRule type="duplicateValues" dxfId="404" priority="326"/>
  </conditionalFormatting>
  <conditionalFormatting sqref="D28">
    <cfRule type="duplicateValues" dxfId="403" priority="324"/>
  </conditionalFormatting>
  <conditionalFormatting sqref="D28">
    <cfRule type="duplicateValues" dxfId="402" priority="322"/>
    <cfRule type="duplicateValues" dxfId="401" priority="323"/>
  </conditionalFormatting>
  <conditionalFormatting sqref="D29">
    <cfRule type="duplicateValues" dxfId="400" priority="321"/>
  </conditionalFormatting>
  <conditionalFormatting sqref="D29">
    <cfRule type="duplicateValues" dxfId="399" priority="319"/>
    <cfRule type="duplicateValues" dxfId="398" priority="320"/>
  </conditionalFormatting>
  <conditionalFormatting sqref="D30">
    <cfRule type="duplicateValues" dxfId="397" priority="318"/>
  </conditionalFormatting>
  <conditionalFormatting sqref="D30">
    <cfRule type="duplicateValues" dxfId="396" priority="316"/>
    <cfRule type="duplicateValues" dxfId="395" priority="317"/>
  </conditionalFormatting>
  <conditionalFormatting sqref="D31">
    <cfRule type="duplicateValues" dxfId="394" priority="315"/>
  </conditionalFormatting>
  <conditionalFormatting sqref="D31">
    <cfRule type="duplicateValues" dxfId="393" priority="313"/>
    <cfRule type="duplicateValues" dxfId="392" priority="314"/>
  </conditionalFormatting>
  <conditionalFormatting sqref="D32">
    <cfRule type="duplicateValues" dxfId="391" priority="312"/>
  </conditionalFormatting>
  <conditionalFormatting sqref="D32">
    <cfRule type="duplicateValues" dxfId="390" priority="310"/>
    <cfRule type="duplicateValues" dxfId="389" priority="311"/>
  </conditionalFormatting>
  <conditionalFormatting sqref="D33">
    <cfRule type="duplicateValues" dxfId="388" priority="309"/>
  </conditionalFormatting>
  <conditionalFormatting sqref="D34">
    <cfRule type="duplicateValues" dxfId="387" priority="308"/>
  </conditionalFormatting>
  <conditionalFormatting sqref="D34">
    <cfRule type="duplicateValues" dxfId="386" priority="306"/>
    <cfRule type="duplicateValues" dxfId="385" priority="307"/>
  </conditionalFormatting>
  <conditionalFormatting sqref="D35">
    <cfRule type="duplicateValues" dxfId="384" priority="305"/>
  </conditionalFormatting>
  <conditionalFormatting sqref="D40">
    <cfRule type="duplicateValues" dxfId="383" priority="304"/>
  </conditionalFormatting>
  <conditionalFormatting sqref="D41">
    <cfRule type="duplicateValues" dxfId="382" priority="303"/>
  </conditionalFormatting>
  <conditionalFormatting sqref="D43">
    <cfRule type="duplicateValues" dxfId="381" priority="302"/>
  </conditionalFormatting>
  <conditionalFormatting sqref="D44">
    <cfRule type="duplicateValues" dxfId="380" priority="301"/>
  </conditionalFormatting>
  <conditionalFormatting sqref="D46">
    <cfRule type="duplicateValues" dxfId="379" priority="300"/>
  </conditionalFormatting>
  <conditionalFormatting sqref="D48">
    <cfRule type="duplicateValues" dxfId="378" priority="299"/>
  </conditionalFormatting>
  <conditionalFormatting sqref="D49">
    <cfRule type="duplicateValues" dxfId="377" priority="298"/>
  </conditionalFormatting>
  <conditionalFormatting sqref="D50">
    <cfRule type="duplicateValues" dxfId="376" priority="297"/>
  </conditionalFormatting>
  <conditionalFormatting sqref="D54">
    <cfRule type="duplicateValues" dxfId="375" priority="296"/>
  </conditionalFormatting>
  <conditionalFormatting sqref="D56">
    <cfRule type="duplicateValues" dxfId="374" priority="295"/>
  </conditionalFormatting>
  <conditionalFormatting sqref="D57">
    <cfRule type="duplicateValues" dxfId="373" priority="294"/>
  </conditionalFormatting>
  <conditionalFormatting sqref="D33">
    <cfRule type="duplicateValues" dxfId="372" priority="292"/>
    <cfRule type="duplicateValues" dxfId="371" priority="293"/>
  </conditionalFormatting>
  <conditionalFormatting sqref="D35">
    <cfRule type="duplicateValues" dxfId="370" priority="290"/>
    <cfRule type="duplicateValues" dxfId="369" priority="291"/>
  </conditionalFormatting>
  <conditionalFormatting sqref="D36">
    <cfRule type="duplicateValues" dxfId="368" priority="289"/>
  </conditionalFormatting>
  <conditionalFormatting sqref="D36">
    <cfRule type="duplicateValues" dxfId="367" priority="287"/>
    <cfRule type="duplicateValues" dxfId="366" priority="288"/>
  </conditionalFormatting>
  <conditionalFormatting sqref="D37">
    <cfRule type="duplicateValues" dxfId="365" priority="286"/>
  </conditionalFormatting>
  <conditionalFormatting sqref="D37">
    <cfRule type="duplicateValues" dxfId="364" priority="284"/>
    <cfRule type="duplicateValues" dxfId="363" priority="285"/>
  </conditionalFormatting>
  <conditionalFormatting sqref="D38">
    <cfRule type="duplicateValues" dxfId="362" priority="283"/>
  </conditionalFormatting>
  <conditionalFormatting sqref="D38">
    <cfRule type="duplicateValues" dxfId="361" priority="281"/>
    <cfRule type="duplicateValues" dxfId="360" priority="282"/>
  </conditionalFormatting>
  <conditionalFormatting sqref="D39">
    <cfRule type="duplicateValues" dxfId="359" priority="280"/>
  </conditionalFormatting>
  <conditionalFormatting sqref="D39">
    <cfRule type="duplicateValues" dxfId="358" priority="278"/>
    <cfRule type="duplicateValues" dxfId="357" priority="279"/>
  </conditionalFormatting>
  <conditionalFormatting sqref="D40">
    <cfRule type="duplicateValues" dxfId="356" priority="276"/>
    <cfRule type="duplicateValues" dxfId="355" priority="277"/>
  </conditionalFormatting>
  <conditionalFormatting sqref="D41">
    <cfRule type="duplicateValues" dxfId="354" priority="274"/>
    <cfRule type="duplicateValues" dxfId="353" priority="275"/>
  </conditionalFormatting>
  <conditionalFormatting sqref="D42">
    <cfRule type="duplicateValues" dxfId="352" priority="273"/>
  </conditionalFormatting>
  <conditionalFormatting sqref="D42">
    <cfRule type="duplicateValues" dxfId="351" priority="271"/>
    <cfRule type="duplicateValues" dxfId="350" priority="272"/>
  </conditionalFormatting>
  <conditionalFormatting sqref="D43">
    <cfRule type="duplicateValues" dxfId="349" priority="269"/>
    <cfRule type="duplicateValues" dxfId="348" priority="270"/>
  </conditionalFormatting>
  <conditionalFormatting sqref="D44">
    <cfRule type="duplicateValues" dxfId="347" priority="267"/>
    <cfRule type="duplicateValues" dxfId="346" priority="268"/>
  </conditionalFormatting>
  <conditionalFormatting sqref="D45">
    <cfRule type="duplicateValues" dxfId="345" priority="266"/>
  </conditionalFormatting>
  <conditionalFormatting sqref="D45">
    <cfRule type="duplicateValues" dxfId="344" priority="264"/>
    <cfRule type="duplicateValues" dxfId="343" priority="265"/>
  </conditionalFormatting>
  <conditionalFormatting sqref="D46">
    <cfRule type="duplicateValues" dxfId="342" priority="262"/>
    <cfRule type="duplicateValues" dxfId="341" priority="263"/>
  </conditionalFormatting>
  <conditionalFormatting sqref="D56">
    <cfRule type="duplicateValues" dxfId="340" priority="260"/>
    <cfRule type="duplicateValues" dxfId="339" priority="261"/>
  </conditionalFormatting>
  <conditionalFormatting sqref="D57">
    <cfRule type="duplicateValues" dxfId="338" priority="258"/>
    <cfRule type="duplicateValues" dxfId="337" priority="259"/>
  </conditionalFormatting>
  <conditionalFormatting sqref="D66">
    <cfRule type="duplicateValues" dxfId="336" priority="257"/>
  </conditionalFormatting>
  <conditionalFormatting sqref="D66">
    <cfRule type="duplicateValues" dxfId="335" priority="255"/>
    <cfRule type="duplicateValues" dxfId="334" priority="256"/>
  </conditionalFormatting>
  <conditionalFormatting sqref="D58">
    <cfRule type="duplicateValues" dxfId="333" priority="254"/>
  </conditionalFormatting>
  <conditionalFormatting sqref="D58">
    <cfRule type="duplicateValues" dxfId="332" priority="252"/>
    <cfRule type="duplicateValues" dxfId="331" priority="253"/>
  </conditionalFormatting>
  <conditionalFormatting sqref="D59">
    <cfRule type="duplicateValues" dxfId="330" priority="251"/>
  </conditionalFormatting>
  <conditionalFormatting sqref="D59">
    <cfRule type="duplicateValues" dxfId="329" priority="249"/>
    <cfRule type="duplicateValues" dxfId="328" priority="250"/>
  </conditionalFormatting>
  <conditionalFormatting sqref="D60">
    <cfRule type="duplicateValues" dxfId="327" priority="248"/>
  </conditionalFormatting>
  <conditionalFormatting sqref="D60">
    <cfRule type="duplicateValues" dxfId="326" priority="246"/>
    <cfRule type="duplicateValues" dxfId="325" priority="247"/>
  </conditionalFormatting>
  <conditionalFormatting sqref="D61">
    <cfRule type="duplicateValues" dxfId="324" priority="245"/>
  </conditionalFormatting>
  <conditionalFormatting sqref="D61">
    <cfRule type="duplicateValues" dxfId="323" priority="243"/>
    <cfRule type="duplicateValues" dxfId="322" priority="244"/>
  </conditionalFormatting>
  <conditionalFormatting sqref="D62">
    <cfRule type="duplicateValues" dxfId="321" priority="242"/>
  </conditionalFormatting>
  <conditionalFormatting sqref="D62">
    <cfRule type="duplicateValues" dxfId="320" priority="240"/>
    <cfRule type="duplicateValues" dxfId="319" priority="241"/>
  </conditionalFormatting>
  <conditionalFormatting sqref="D63">
    <cfRule type="duplicateValues" dxfId="318" priority="239"/>
  </conditionalFormatting>
  <conditionalFormatting sqref="D63">
    <cfRule type="duplicateValues" dxfId="317" priority="237"/>
    <cfRule type="duplicateValues" dxfId="316" priority="238"/>
  </conditionalFormatting>
  <conditionalFormatting sqref="D68">
    <cfRule type="duplicateValues" dxfId="315" priority="236"/>
  </conditionalFormatting>
  <conditionalFormatting sqref="D68">
    <cfRule type="duplicateValues" dxfId="314" priority="234"/>
    <cfRule type="duplicateValues" dxfId="313" priority="235"/>
  </conditionalFormatting>
  <conditionalFormatting sqref="D69">
    <cfRule type="duplicateValues" dxfId="312" priority="233"/>
  </conditionalFormatting>
  <conditionalFormatting sqref="D69">
    <cfRule type="duplicateValues" dxfId="311" priority="231"/>
    <cfRule type="duplicateValues" dxfId="310" priority="232"/>
  </conditionalFormatting>
  <conditionalFormatting sqref="D70">
    <cfRule type="duplicateValues" dxfId="309" priority="230"/>
  </conditionalFormatting>
  <conditionalFormatting sqref="D70">
    <cfRule type="duplicateValues" dxfId="308" priority="228"/>
    <cfRule type="duplicateValues" dxfId="307" priority="229"/>
  </conditionalFormatting>
  <conditionalFormatting sqref="D71">
    <cfRule type="duplicateValues" dxfId="306" priority="227"/>
  </conditionalFormatting>
  <conditionalFormatting sqref="D71">
    <cfRule type="duplicateValues" dxfId="305" priority="225"/>
    <cfRule type="duplicateValues" dxfId="304" priority="226"/>
  </conditionalFormatting>
  <conditionalFormatting sqref="D52">
    <cfRule type="duplicateValues" dxfId="303" priority="224"/>
  </conditionalFormatting>
  <conditionalFormatting sqref="D53">
    <cfRule type="duplicateValues" dxfId="302" priority="223"/>
  </conditionalFormatting>
  <conditionalFormatting sqref="D65">
    <cfRule type="duplicateValues" dxfId="301" priority="222"/>
  </conditionalFormatting>
  <conditionalFormatting sqref="D33:D35">
    <cfRule type="duplicateValues" dxfId="300" priority="221"/>
  </conditionalFormatting>
  <conditionalFormatting sqref="D49">
    <cfRule type="duplicateValues" dxfId="299" priority="219"/>
    <cfRule type="duplicateValues" dxfId="298" priority="220"/>
  </conditionalFormatting>
  <conditionalFormatting sqref="D47">
    <cfRule type="duplicateValues" dxfId="297" priority="218"/>
  </conditionalFormatting>
  <conditionalFormatting sqref="D51">
    <cfRule type="duplicateValues" dxfId="296" priority="217"/>
  </conditionalFormatting>
  <conditionalFormatting sqref="D51">
    <cfRule type="duplicateValues" dxfId="295" priority="215"/>
    <cfRule type="duplicateValues" dxfId="294" priority="216"/>
  </conditionalFormatting>
  <conditionalFormatting sqref="D54">
    <cfRule type="duplicateValues" dxfId="293" priority="213"/>
    <cfRule type="duplicateValues" dxfId="292" priority="214"/>
  </conditionalFormatting>
  <conditionalFormatting sqref="D67">
    <cfRule type="duplicateValues" dxfId="291" priority="212"/>
  </conditionalFormatting>
  <conditionalFormatting sqref="D65">
    <cfRule type="duplicateValues" dxfId="290" priority="211"/>
  </conditionalFormatting>
  <conditionalFormatting sqref="D73">
    <cfRule type="duplicateValues" dxfId="289" priority="210"/>
  </conditionalFormatting>
  <conditionalFormatting sqref="D24:D26">
    <cfRule type="duplicateValues" dxfId="288" priority="209"/>
  </conditionalFormatting>
  <conditionalFormatting sqref="B27">
    <cfRule type="duplicateValues" dxfId="287" priority="208"/>
  </conditionalFormatting>
  <conditionalFormatting sqref="B27">
    <cfRule type="duplicateValues" dxfId="286" priority="206"/>
    <cfRule type="duplicateValues" dxfId="285" priority="207"/>
  </conditionalFormatting>
  <conditionalFormatting sqref="B28">
    <cfRule type="duplicateValues" dxfId="284" priority="205"/>
  </conditionalFormatting>
  <conditionalFormatting sqref="B28">
    <cfRule type="duplicateValues" dxfId="283" priority="203"/>
    <cfRule type="duplicateValues" dxfId="282" priority="204"/>
  </conditionalFormatting>
  <conditionalFormatting sqref="B29">
    <cfRule type="duplicateValues" dxfId="281" priority="202"/>
  </conditionalFormatting>
  <conditionalFormatting sqref="B29">
    <cfRule type="duplicateValues" dxfId="280" priority="200"/>
    <cfRule type="duplicateValues" dxfId="279" priority="201"/>
  </conditionalFormatting>
  <conditionalFormatting sqref="B30">
    <cfRule type="duplicateValues" dxfId="278" priority="199"/>
  </conditionalFormatting>
  <conditionalFormatting sqref="B30">
    <cfRule type="duplicateValues" dxfId="277" priority="197"/>
    <cfRule type="duplicateValues" dxfId="276" priority="198"/>
  </conditionalFormatting>
  <conditionalFormatting sqref="B31">
    <cfRule type="duplicateValues" dxfId="275" priority="196"/>
  </conditionalFormatting>
  <conditionalFormatting sqref="B31">
    <cfRule type="duplicateValues" dxfId="274" priority="194"/>
    <cfRule type="duplicateValues" dxfId="273" priority="195"/>
  </conditionalFormatting>
  <conditionalFormatting sqref="B32">
    <cfRule type="duplicateValues" dxfId="272" priority="193"/>
  </conditionalFormatting>
  <conditionalFormatting sqref="B32">
    <cfRule type="duplicateValues" dxfId="271" priority="191"/>
    <cfRule type="duplicateValues" dxfId="270" priority="192"/>
  </conditionalFormatting>
  <conditionalFormatting sqref="B33">
    <cfRule type="duplicateValues" dxfId="269" priority="190"/>
  </conditionalFormatting>
  <conditionalFormatting sqref="B34">
    <cfRule type="duplicateValues" dxfId="268" priority="189"/>
  </conditionalFormatting>
  <conditionalFormatting sqref="B34">
    <cfRule type="duplicateValues" dxfId="267" priority="187"/>
    <cfRule type="duplicateValues" dxfId="266" priority="188"/>
  </conditionalFormatting>
  <conditionalFormatting sqref="B35">
    <cfRule type="duplicateValues" dxfId="265" priority="186"/>
  </conditionalFormatting>
  <conditionalFormatting sqref="B40">
    <cfRule type="duplicateValues" dxfId="264" priority="185"/>
  </conditionalFormatting>
  <conditionalFormatting sqref="B41">
    <cfRule type="duplicateValues" dxfId="263" priority="184"/>
  </conditionalFormatting>
  <conditionalFormatting sqref="B43">
    <cfRule type="duplicateValues" dxfId="262" priority="183"/>
  </conditionalFormatting>
  <conditionalFormatting sqref="B44">
    <cfRule type="duplicateValues" dxfId="261" priority="182"/>
  </conditionalFormatting>
  <conditionalFormatting sqref="B46">
    <cfRule type="duplicateValues" dxfId="260" priority="181"/>
  </conditionalFormatting>
  <conditionalFormatting sqref="B48">
    <cfRule type="duplicateValues" dxfId="259" priority="180"/>
  </conditionalFormatting>
  <conditionalFormatting sqref="B49">
    <cfRule type="duplicateValues" dxfId="258" priority="179"/>
  </conditionalFormatting>
  <conditionalFormatting sqref="B50">
    <cfRule type="duplicateValues" dxfId="257" priority="178"/>
  </conditionalFormatting>
  <conditionalFormatting sqref="B54">
    <cfRule type="duplicateValues" dxfId="256" priority="177"/>
  </conditionalFormatting>
  <conditionalFormatting sqref="B56">
    <cfRule type="duplicateValues" dxfId="255" priority="176"/>
  </conditionalFormatting>
  <conditionalFormatting sqref="B57">
    <cfRule type="duplicateValues" dxfId="254" priority="175"/>
  </conditionalFormatting>
  <conditionalFormatting sqref="B33">
    <cfRule type="duplicateValues" dxfId="253" priority="173"/>
    <cfRule type="duplicateValues" dxfId="252" priority="174"/>
  </conditionalFormatting>
  <conditionalFormatting sqref="B35">
    <cfRule type="duplicateValues" dxfId="251" priority="171"/>
    <cfRule type="duplicateValues" dxfId="250" priority="172"/>
  </conditionalFormatting>
  <conditionalFormatting sqref="B36">
    <cfRule type="duplicateValues" dxfId="249" priority="170"/>
  </conditionalFormatting>
  <conditionalFormatting sqref="B36">
    <cfRule type="duplicateValues" dxfId="248" priority="168"/>
    <cfRule type="duplicateValues" dxfId="247" priority="169"/>
  </conditionalFormatting>
  <conditionalFormatting sqref="B37">
    <cfRule type="duplicateValues" dxfId="246" priority="167"/>
  </conditionalFormatting>
  <conditionalFormatting sqref="B37">
    <cfRule type="duplicateValues" dxfId="245" priority="165"/>
    <cfRule type="duplicateValues" dxfId="244" priority="166"/>
  </conditionalFormatting>
  <conditionalFormatting sqref="B38">
    <cfRule type="duplicateValues" dxfId="243" priority="164"/>
  </conditionalFormatting>
  <conditionalFormatting sqref="B38">
    <cfRule type="duplicateValues" dxfId="242" priority="162"/>
    <cfRule type="duplicateValues" dxfId="241" priority="163"/>
  </conditionalFormatting>
  <conditionalFormatting sqref="B39">
    <cfRule type="duplicateValues" dxfId="240" priority="161"/>
  </conditionalFormatting>
  <conditionalFormatting sqref="B39">
    <cfRule type="duplicateValues" dxfId="239" priority="159"/>
    <cfRule type="duplicateValues" dxfId="238" priority="160"/>
  </conditionalFormatting>
  <conditionalFormatting sqref="B40">
    <cfRule type="duplicateValues" dxfId="237" priority="157"/>
    <cfRule type="duplicateValues" dxfId="236" priority="158"/>
  </conditionalFormatting>
  <conditionalFormatting sqref="B41">
    <cfRule type="duplicateValues" dxfId="235" priority="155"/>
    <cfRule type="duplicateValues" dxfId="234" priority="156"/>
  </conditionalFormatting>
  <conditionalFormatting sqref="B42">
    <cfRule type="duplicateValues" dxfId="233" priority="154"/>
  </conditionalFormatting>
  <conditionalFormatting sqref="B42">
    <cfRule type="duplicateValues" dxfId="232" priority="152"/>
    <cfRule type="duplicateValues" dxfId="231" priority="153"/>
  </conditionalFormatting>
  <conditionalFormatting sqref="B43">
    <cfRule type="duplicateValues" dxfId="230" priority="150"/>
    <cfRule type="duplicateValues" dxfId="229" priority="151"/>
  </conditionalFormatting>
  <conditionalFormatting sqref="B44">
    <cfRule type="duplicateValues" dxfId="228" priority="148"/>
    <cfRule type="duplicateValues" dxfId="227" priority="149"/>
  </conditionalFormatting>
  <conditionalFormatting sqref="B45">
    <cfRule type="duplicateValues" dxfId="226" priority="147"/>
  </conditionalFormatting>
  <conditionalFormatting sqref="B45">
    <cfRule type="duplicateValues" dxfId="225" priority="145"/>
    <cfRule type="duplicateValues" dxfId="224" priority="146"/>
  </conditionalFormatting>
  <conditionalFormatting sqref="B46">
    <cfRule type="duplicateValues" dxfId="223" priority="143"/>
    <cfRule type="duplicateValues" dxfId="222" priority="144"/>
  </conditionalFormatting>
  <conditionalFormatting sqref="B56">
    <cfRule type="duplicateValues" dxfId="221" priority="141"/>
    <cfRule type="duplicateValues" dxfId="220" priority="142"/>
  </conditionalFormatting>
  <conditionalFormatting sqref="B57">
    <cfRule type="duplicateValues" dxfId="219" priority="139"/>
    <cfRule type="duplicateValues" dxfId="218" priority="140"/>
  </conditionalFormatting>
  <conditionalFormatting sqref="B66">
    <cfRule type="duplicateValues" dxfId="217" priority="138"/>
  </conditionalFormatting>
  <conditionalFormatting sqref="B66">
    <cfRule type="duplicateValues" dxfId="216" priority="136"/>
    <cfRule type="duplicateValues" dxfId="215" priority="137"/>
  </conditionalFormatting>
  <conditionalFormatting sqref="B58">
    <cfRule type="duplicateValues" dxfId="214" priority="135"/>
  </conditionalFormatting>
  <conditionalFormatting sqref="B58">
    <cfRule type="duplicateValues" dxfId="213" priority="133"/>
    <cfRule type="duplicateValues" dxfId="212" priority="134"/>
  </conditionalFormatting>
  <conditionalFormatting sqref="B59">
    <cfRule type="duplicateValues" dxfId="211" priority="132"/>
  </conditionalFormatting>
  <conditionalFormatting sqref="B59">
    <cfRule type="duplicateValues" dxfId="210" priority="130"/>
    <cfRule type="duplicateValues" dxfId="209" priority="131"/>
  </conditionalFormatting>
  <conditionalFormatting sqref="B60">
    <cfRule type="duplicateValues" dxfId="208" priority="129"/>
  </conditionalFormatting>
  <conditionalFormatting sqref="B60">
    <cfRule type="duplicateValues" dxfId="207" priority="127"/>
    <cfRule type="duplicateValues" dxfId="206" priority="128"/>
  </conditionalFormatting>
  <conditionalFormatting sqref="B61">
    <cfRule type="duplicateValues" dxfId="205" priority="126"/>
  </conditionalFormatting>
  <conditionalFormatting sqref="B61">
    <cfRule type="duplicateValues" dxfId="204" priority="124"/>
    <cfRule type="duplicateValues" dxfId="203" priority="125"/>
  </conditionalFormatting>
  <conditionalFormatting sqref="B62">
    <cfRule type="duplicateValues" dxfId="202" priority="123"/>
  </conditionalFormatting>
  <conditionalFormatting sqref="B62">
    <cfRule type="duplicateValues" dxfId="201" priority="121"/>
    <cfRule type="duplicateValues" dxfId="200" priority="122"/>
  </conditionalFormatting>
  <conditionalFormatting sqref="B63">
    <cfRule type="duplicateValues" dxfId="199" priority="120"/>
  </conditionalFormatting>
  <conditionalFormatting sqref="B63">
    <cfRule type="duplicateValues" dxfId="198" priority="118"/>
    <cfRule type="duplicateValues" dxfId="197" priority="119"/>
  </conditionalFormatting>
  <conditionalFormatting sqref="B68">
    <cfRule type="duplicateValues" dxfId="196" priority="117"/>
  </conditionalFormatting>
  <conditionalFormatting sqref="B68">
    <cfRule type="duplicateValues" dxfId="195" priority="115"/>
    <cfRule type="duplicateValues" dxfId="194" priority="116"/>
  </conditionalFormatting>
  <conditionalFormatting sqref="B69">
    <cfRule type="duplicateValues" dxfId="193" priority="114"/>
  </conditionalFormatting>
  <conditionalFormatting sqref="B69">
    <cfRule type="duplicateValues" dxfId="192" priority="112"/>
    <cfRule type="duplicateValues" dxfId="191" priority="113"/>
  </conditionalFormatting>
  <conditionalFormatting sqref="B70">
    <cfRule type="duplicateValues" dxfId="190" priority="111"/>
  </conditionalFormatting>
  <conditionalFormatting sqref="B70">
    <cfRule type="duplicateValues" dxfId="189" priority="109"/>
    <cfRule type="duplicateValues" dxfId="188" priority="110"/>
  </conditionalFormatting>
  <conditionalFormatting sqref="B71">
    <cfRule type="duplicateValues" dxfId="187" priority="108"/>
  </conditionalFormatting>
  <conditionalFormatting sqref="B71">
    <cfRule type="duplicateValues" dxfId="186" priority="106"/>
    <cfRule type="duplicateValues" dxfId="185" priority="107"/>
  </conditionalFormatting>
  <conditionalFormatting sqref="B52">
    <cfRule type="duplicateValues" dxfId="184" priority="105"/>
  </conditionalFormatting>
  <conditionalFormatting sqref="B53">
    <cfRule type="duplicateValues" dxfId="183" priority="104"/>
  </conditionalFormatting>
  <conditionalFormatting sqref="B73">
    <cfRule type="duplicateValues" dxfId="182" priority="103"/>
  </conditionalFormatting>
  <conditionalFormatting sqref="B65">
    <cfRule type="duplicateValues" dxfId="181" priority="102"/>
  </conditionalFormatting>
  <conditionalFormatting sqref="B33:B35">
    <cfRule type="duplicateValues" dxfId="180" priority="101"/>
  </conditionalFormatting>
  <conditionalFormatting sqref="B49">
    <cfRule type="duplicateValues" dxfId="179" priority="99"/>
    <cfRule type="duplicateValues" dxfId="178" priority="100"/>
  </conditionalFormatting>
  <conditionalFormatting sqref="B47">
    <cfRule type="duplicateValues" dxfId="177" priority="98"/>
  </conditionalFormatting>
  <conditionalFormatting sqref="B51">
    <cfRule type="duplicateValues" dxfId="176" priority="97"/>
  </conditionalFormatting>
  <conditionalFormatting sqref="B51">
    <cfRule type="duplicateValues" dxfId="175" priority="95"/>
    <cfRule type="duplicateValues" dxfId="174" priority="96"/>
  </conditionalFormatting>
  <conditionalFormatting sqref="B54">
    <cfRule type="duplicateValues" dxfId="173" priority="93"/>
    <cfRule type="duplicateValues" dxfId="172" priority="94"/>
  </conditionalFormatting>
  <conditionalFormatting sqref="B73">
    <cfRule type="duplicateValues" dxfId="171" priority="92"/>
  </conditionalFormatting>
  <conditionalFormatting sqref="B24:B26">
    <cfRule type="duplicateValues" dxfId="170" priority="91"/>
  </conditionalFormatting>
  <conditionalFormatting sqref="D77">
    <cfRule type="duplicateValues" dxfId="169" priority="90"/>
  </conditionalFormatting>
  <conditionalFormatting sqref="D77">
    <cfRule type="duplicateValues" dxfId="168" priority="88"/>
    <cfRule type="duplicateValues" dxfId="167" priority="89"/>
  </conditionalFormatting>
  <conditionalFormatting sqref="D78">
    <cfRule type="duplicateValues" dxfId="166" priority="87"/>
  </conditionalFormatting>
  <conditionalFormatting sqref="D78">
    <cfRule type="duplicateValues" dxfId="165" priority="85"/>
    <cfRule type="duplicateValues" dxfId="164" priority="86"/>
  </conditionalFormatting>
  <conditionalFormatting sqref="D79">
    <cfRule type="duplicateValues" dxfId="163" priority="84"/>
  </conditionalFormatting>
  <conditionalFormatting sqref="D79">
    <cfRule type="duplicateValues" dxfId="162" priority="82"/>
    <cfRule type="duplicateValues" dxfId="161" priority="83"/>
  </conditionalFormatting>
  <conditionalFormatting sqref="D80">
    <cfRule type="duplicateValues" dxfId="160" priority="81"/>
  </conditionalFormatting>
  <conditionalFormatting sqref="D80">
    <cfRule type="duplicateValues" dxfId="159" priority="79"/>
    <cfRule type="duplicateValues" dxfId="158" priority="80"/>
  </conditionalFormatting>
  <conditionalFormatting sqref="D81">
    <cfRule type="duplicateValues" dxfId="157" priority="78"/>
  </conditionalFormatting>
  <conditionalFormatting sqref="D81">
    <cfRule type="duplicateValues" dxfId="156" priority="76"/>
    <cfRule type="duplicateValues" dxfId="155" priority="77"/>
  </conditionalFormatting>
  <conditionalFormatting sqref="D87">
    <cfRule type="duplicateValues" dxfId="154" priority="75"/>
  </conditionalFormatting>
  <conditionalFormatting sqref="D86:D87">
    <cfRule type="duplicateValues" dxfId="153" priority="74"/>
  </conditionalFormatting>
  <conditionalFormatting sqref="D86:D87">
    <cfRule type="duplicateValues" dxfId="152" priority="72"/>
    <cfRule type="duplicateValues" dxfId="151" priority="73"/>
  </conditionalFormatting>
  <conditionalFormatting sqref="D89">
    <cfRule type="duplicateValues" dxfId="150" priority="71"/>
  </conditionalFormatting>
  <conditionalFormatting sqref="D89">
    <cfRule type="duplicateValues" dxfId="149" priority="69"/>
    <cfRule type="duplicateValues" dxfId="148" priority="70"/>
  </conditionalFormatting>
  <conditionalFormatting sqref="B77">
    <cfRule type="duplicateValues" dxfId="147" priority="68"/>
  </conditionalFormatting>
  <conditionalFormatting sqref="B77">
    <cfRule type="duplicateValues" dxfId="146" priority="66"/>
    <cfRule type="duplicateValues" dxfId="145" priority="67"/>
  </conditionalFormatting>
  <conditionalFormatting sqref="B78">
    <cfRule type="duplicateValues" dxfId="144" priority="65"/>
  </conditionalFormatting>
  <conditionalFormatting sqref="B78">
    <cfRule type="duplicateValues" dxfId="143" priority="63"/>
    <cfRule type="duplicateValues" dxfId="142" priority="64"/>
  </conditionalFormatting>
  <conditionalFormatting sqref="B79">
    <cfRule type="duplicateValues" dxfId="141" priority="62"/>
  </conditionalFormatting>
  <conditionalFormatting sqref="B79">
    <cfRule type="duplicateValues" dxfId="140" priority="60"/>
    <cfRule type="duplicateValues" dxfId="139" priority="61"/>
  </conditionalFormatting>
  <conditionalFormatting sqref="B80">
    <cfRule type="duplicateValues" dxfId="138" priority="59"/>
  </conditionalFormatting>
  <conditionalFormatting sqref="B80">
    <cfRule type="duplicateValues" dxfId="137" priority="57"/>
    <cfRule type="duplicateValues" dxfId="136" priority="58"/>
  </conditionalFormatting>
  <conditionalFormatting sqref="B81">
    <cfRule type="duplicateValues" dxfId="135" priority="56"/>
  </conditionalFormatting>
  <conditionalFormatting sqref="B81">
    <cfRule type="duplicateValues" dxfId="134" priority="54"/>
    <cfRule type="duplicateValues" dxfId="133" priority="55"/>
  </conditionalFormatting>
  <conditionalFormatting sqref="B87">
    <cfRule type="duplicateValues" dxfId="132" priority="53"/>
  </conditionalFormatting>
  <conditionalFormatting sqref="B86:B87">
    <cfRule type="duplicateValues" dxfId="131" priority="52"/>
  </conditionalFormatting>
  <conditionalFormatting sqref="B86:B87">
    <cfRule type="duplicateValues" dxfId="130" priority="50"/>
    <cfRule type="duplicateValues" dxfId="129" priority="51"/>
  </conditionalFormatting>
  <conditionalFormatting sqref="B89">
    <cfRule type="duplicateValues" dxfId="128" priority="49"/>
  </conditionalFormatting>
  <conditionalFormatting sqref="B89">
    <cfRule type="duplicateValues" dxfId="127" priority="47"/>
    <cfRule type="duplicateValues" dxfId="126" priority="48"/>
  </conditionalFormatting>
  <conditionalFormatting sqref="D77">
    <cfRule type="duplicateValues" dxfId="125" priority="46"/>
  </conditionalFormatting>
  <conditionalFormatting sqref="D77">
    <cfRule type="duplicateValues" dxfId="124" priority="44"/>
    <cfRule type="duplicateValues" dxfId="123" priority="45"/>
  </conditionalFormatting>
  <conditionalFormatting sqref="D78">
    <cfRule type="duplicateValues" dxfId="122" priority="43"/>
  </conditionalFormatting>
  <conditionalFormatting sqref="D78">
    <cfRule type="duplicateValues" dxfId="121" priority="41"/>
    <cfRule type="duplicateValues" dxfId="120" priority="42"/>
  </conditionalFormatting>
  <conditionalFormatting sqref="D79">
    <cfRule type="duplicateValues" dxfId="119" priority="40"/>
  </conditionalFormatting>
  <conditionalFormatting sqref="D79">
    <cfRule type="duplicateValues" dxfId="118" priority="38"/>
    <cfRule type="duplicateValues" dxfId="117" priority="39"/>
  </conditionalFormatting>
  <conditionalFormatting sqref="D80">
    <cfRule type="duplicateValues" dxfId="116" priority="37"/>
  </conditionalFormatting>
  <conditionalFormatting sqref="D80">
    <cfRule type="duplicateValues" dxfId="115" priority="35"/>
    <cfRule type="duplicateValues" dxfId="114" priority="36"/>
  </conditionalFormatting>
  <conditionalFormatting sqref="D81">
    <cfRule type="duplicateValues" dxfId="113" priority="34"/>
  </conditionalFormatting>
  <conditionalFormatting sqref="D81">
    <cfRule type="duplicateValues" dxfId="112" priority="32"/>
    <cfRule type="duplicateValues" dxfId="111" priority="33"/>
  </conditionalFormatting>
  <conditionalFormatting sqref="D87">
    <cfRule type="duplicateValues" dxfId="110" priority="31"/>
  </conditionalFormatting>
  <conditionalFormatting sqref="D86:D87">
    <cfRule type="duplicateValues" dxfId="109" priority="30"/>
  </conditionalFormatting>
  <conditionalFormatting sqref="D86:D87">
    <cfRule type="duplicateValues" dxfId="108" priority="28"/>
    <cfRule type="duplicateValues" dxfId="107" priority="29"/>
  </conditionalFormatting>
  <conditionalFormatting sqref="D89">
    <cfRule type="duplicateValues" dxfId="106" priority="27"/>
  </conditionalFormatting>
  <conditionalFormatting sqref="B77">
    <cfRule type="duplicateValues" dxfId="105" priority="26"/>
  </conditionalFormatting>
  <conditionalFormatting sqref="B77">
    <cfRule type="duplicateValues" dxfId="104" priority="24"/>
    <cfRule type="duplicateValues" dxfId="103" priority="25"/>
  </conditionalFormatting>
  <conditionalFormatting sqref="B78">
    <cfRule type="duplicateValues" dxfId="102" priority="23"/>
  </conditionalFormatting>
  <conditionalFormatting sqref="B78">
    <cfRule type="duplicateValues" dxfId="101" priority="21"/>
    <cfRule type="duplicateValues" dxfId="100" priority="22"/>
  </conditionalFormatting>
  <conditionalFormatting sqref="B79">
    <cfRule type="duplicateValues" dxfId="99" priority="20"/>
  </conditionalFormatting>
  <conditionalFormatting sqref="B79">
    <cfRule type="duplicateValues" dxfId="98" priority="18"/>
    <cfRule type="duplicateValues" dxfId="97" priority="19"/>
  </conditionalFormatting>
  <conditionalFormatting sqref="B80">
    <cfRule type="duplicateValues" dxfId="96" priority="17"/>
  </conditionalFormatting>
  <conditionalFormatting sqref="B80">
    <cfRule type="duplicateValues" dxfId="95" priority="15"/>
    <cfRule type="duplicateValues" dxfId="94" priority="16"/>
  </conditionalFormatting>
  <conditionalFormatting sqref="B81">
    <cfRule type="duplicateValues" dxfId="93" priority="14"/>
  </conditionalFormatting>
  <conditionalFormatting sqref="B81">
    <cfRule type="duplicateValues" dxfId="92" priority="12"/>
    <cfRule type="duplicateValues" dxfId="91" priority="13"/>
  </conditionalFormatting>
  <conditionalFormatting sqref="B87">
    <cfRule type="duplicateValues" dxfId="90" priority="11"/>
  </conditionalFormatting>
  <conditionalFormatting sqref="B86:B87">
    <cfRule type="duplicateValues" dxfId="89" priority="10"/>
  </conditionalFormatting>
  <conditionalFormatting sqref="B86:B87">
    <cfRule type="duplicateValues" dxfId="88" priority="8"/>
    <cfRule type="duplicateValues" dxfId="87" priority="9"/>
  </conditionalFormatting>
  <conditionalFormatting sqref="B89">
    <cfRule type="duplicateValues" dxfId="86" priority="7"/>
  </conditionalFormatting>
  <conditionalFormatting sqref="D19">
    <cfRule type="duplicateValues" dxfId="85" priority="773"/>
  </conditionalFormatting>
  <conditionalFormatting sqref="D19">
    <cfRule type="duplicateValues" dxfId="84" priority="774"/>
    <cfRule type="duplicateValues" dxfId="83" priority="775"/>
  </conditionalFormatting>
  <conditionalFormatting sqref="B19">
    <cfRule type="duplicateValues" dxfId="82" priority="776"/>
  </conditionalFormatting>
  <conditionalFormatting sqref="B19">
    <cfRule type="duplicateValues" dxfId="81" priority="777"/>
    <cfRule type="duplicateValues" dxfId="80" priority="778"/>
  </conditionalFormatting>
  <conditionalFormatting sqref="D12:D14">
    <cfRule type="duplicateValues" dxfId="79" priority="779"/>
  </conditionalFormatting>
  <conditionalFormatting sqref="D21:D26">
    <cfRule type="duplicateValues" dxfId="78" priority="780"/>
  </conditionalFormatting>
  <conditionalFormatting sqref="B21:B26">
    <cfRule type="duplicateValues" dxfId="77" priority="781"/>
  </conditionalFormatting>
  <conditionalFormatting sqref="D21:D26 D15">
    <cfRule type="duplicateValues" dxfId="76" priority="782"/>
  </conditionalFormatting>
  <conditionalFormatting sqref="B21:B26 B15">
    <cfRule type="duplicateValues" dxfId="75" priority="783"/>
  </conditionalFormatting>
  <conditionalFormatting sqref="D21:D26 D15 D17">
    <cfRule type="duplicateValues" dxfId="74" priority="784"/>
  </conditionalFormatting>
  <conditionalFormatting sqref="B21:B26 B15 B17">
    <cfRule type="duplicateValues" dxfId="73" priority="785"/>
  </conditionalFormatting>
  <conditionalFormatting sqref="B12:B14">
    <cfRule type="duplicateValues" dxfId="72" priority="786"/>
  </conditionalFormatting>
  <conditionalFormatting sqref="D36:D38">
    <cfRule type="duplicateValues" dxfId="71" priority="787"/>
  </conditionalFormatting>
  <conditionalFormatting sqref="B36:B38">
    <cfRule type="duplicateValues" dxfId="70" priority="788"/>
  </conditionalFormatting>
  <conditionalFormatting sqref="D40:D41">
    <cfRule type="duplicateValues" dxfId="69" priority="789"/>
  </conditionalFormatting>
  <conditionalFormatting sqref="B40:B41">
    <cfRule type="duplicateValues" dxfId="68" priority="790"/>
  </conditionalFormatting>
  <conditionalFormatting sqref="D39:D41">
    <cfRule type="duplicateValues" dxfId="67" priority="791"/>
  </conditionalFormatting>
  <conditionalFormatting sqref="D47:D48">
    <cfRule type="duplicateValues" dxfId="66" priority="792"/>
  </conditionalFormatting>
  <conditionalFormatting sqref="B47:B48">
    <cfRule type="duplicateValues" dxfId="65" priority="793"/>
  </conditionalFormatting>
  <conditionalFormatting sqref="D44:D48">
    <cfRule type="duplicateValues" dxfId="64" priority="794"/>
  </conditionalFormatting>
  <conditionalFormatting sqref="D51:D53">
    <cfRule type="duplicateValues" dxfId="63" priority="795"/>
  </conditionalFormatting>
  <conditionalFormatting sqref="D52:D53">
    <cfRule type="duplicateValues" dxfId="62" priority="796"/>
  </conditionalFormatting>
  <conditionalFormatting sqref="D50:D53">
    <cfRule type="duplicateValues" dxfId="61" priority="797"/>
  </conditionalFormatting>
  <conditionalFormatting sqref="D49:D53">
    <cfRule type="duplicateValues" dxfId="60" priority="798"/>
  </conditionalFormatting>
  <conditionalFormatting sqref="B51:B54">
    <cfRule type="duplicateValues" dxfId="59" priority="799"/>
  </conditionalFormatting>
  <conditionalFormatting sqref="B52:B54">
    <cfRule type="duplicateValues" dxfId="58" priority="800"/>
  </conditionalFormatting>
  <conditionalFormatting sqref="B50:B54">
    <cfRule type="duplicateValues" dxfId="57" priority="801"/>
  </conditionalFormatting>
  <conditionalFormatting sqref="B49:B54">
    <cfRule type="duplicateValues" dxfId="56" priority="802"/>
  </conditionalFormatting>
  <conditionalFormatting sqref="B47:B54">
    <cfRule type="duplicateValues" dxfId="55" priority="803"/>
  </conditionalFormatting>
  <conditionalFormatting sqref="B44:B54">
    <cfRule type="duplicateValues" dxfId="54" priority="804"/>
  </conditionalFormatting>
  <conditionalFormatting sqref="B55">
    <cfRule type="duplicateValues" dxfId="53" priority="805"/>
  </conditionalFormatting>
  <conditionalFormatting sqref="B54:B55">
    <cfRule type="duplicateValues" dxfId="52" priority="806"/>
  </conditionalFormatting>
  <conditionalFormatting sqref="B51:B55">
    <cfRule type="duplicateValues" dxfId="51" priority="807"/>
  </conditionalFormatting>
  <conditionalFormatting sqref="B50:B55">
    <cfRule type="duplicateValues" dxfId="50" priority="808"/>
  </conditionalFormatting>
  <conditionalFormatting sqref="B49:B55">
    <cfRule type="duplicateValues" dxfId="49" priority="809"/>
  </conditionalFormatting>
  <conditionalFormatting sqref="D56">
    <cfRule type="duplicateValues" dxfId="48" priority="810"/>
  </conditionalFormatting>
  <conditionalFormatting sqref="B56">
    <cfRule type="duplicateValues" dxfId="47" priority="811"/>
  </conditionalFormatting>
  <conditionalFormatting sqref="D64">
    <cfRule type="duplicateValues" dxfId="46" priority="812"/>
  </conditionalFormatting>
  <conditionalFormatting sqref="D64">
    <cfRule type="duplicateValues" dxfId="45" priority="813"/>
    <cfRule type="duplicateValues" dxfId="44" priority="814"/>
  </conditionalFormatting>
  <conditionalFormatting sqref="B64">
    <cfRule type="duplicateValues" dxfId="43" priority="815"/>
  </conditionalFormatting>
  <conditionalFormatting sqref="B64">
    <cfRule type="duplicateValues" dxfId="42" priority="816"/>
    <cfRule type="duplicateValues" dxfId="41" priority="817"/>
  </conditionalFormatting>
  <conditionalFormatting sqref="D65 D67">
    <cfRule type="duplicateValues" dxfId="40" priority="818"/>
  </conditionalFormatting>
  <conditionalFormatting sqref="B67">
    <cfRule type="duplicateValues" dxfId="39" priority="819"/>
  </conditionalFormatting>
  <conditionalFormatting sqref="D72">
    <cfRule type="duplicateValues" dxfId="38" priority="820"/>
  </conditionalFormatting>
  <conditionalFormatting sqref="D72">
    <cfRule type="duplicateValues" dxfId="37" priority="821"/>
    <cfRule type="duplicateValues" dxfId="36" priority="822"/>
  </conditionalFormatting>
  <conditionalFormatting sqref="B72">
    <cfRule type="duplicateValues" dxfId="35" priority="823"/>
  </conditionalFormatting>
  <conditionalFormatting sqref="B72">
    <cfRule type="duplicateValues" dxfId="34" priority="824"/>
    <cfRule type="duplicateValues" dxfId="33" priority="825"/>
  </conditionalFormatting>
  <conditionalFormatting sqref="D74:D76">
    <cfRule type="duplicateValues" dxfId="32" priority="826"/>
  </conditionalFormatting>
  <conditionalFormatting sqref="D74:D76">
    <cfRule type="duplicateValues" dxfId="31" priority="827"/>
    <cfRule type="duplicateValues" dxfId="30" priority="828"/>
  </conditionalFormatting>
  <conditionalFormatting sqref="B74:B76">
    <cfRule type="duplicateValues" dxfId="29" priority="829"/>
  </conditionalFormatting>
  <conditionalFormatting sqref="B74:B76">
    <cfRule type="duplicateValues" dxfId="28" priority="830"/>
    <cfRule type="duplicateValues" dxfId="27" priority="831"/>
  </conditionalFormatting>
  <conditionalFormatting sqref="D47:D48">
    <cfRule type="duplicateValues" dxfId="26" priority="832"/>
  </conditionalFormatting>
  <conditionalFormatting sqref="D44:D48">
    <cfRule type="duplicateValues" dxfId="25" priority="833"/>
  </conditionalFormatting>
  <conditionalFormatting sqref="B47:B54">
    <cfRule type="duplicateValues" dxfId="24" priority="834"/>
  </conditionalFormatting>
  <conditionalFormatting sqref="B44:B54">
    <cfRule type="duplicateValues" dxfId="23" priority="835"/>
  </conditionalFormatting>
  <conditionalFormatting sqref="D85">
    <cfRule type="duplicateValues" dxfId="22" priority="836"/>
  </conditionalFormatting>
  <conditionalFormatting sqref="B85">
    <cfRule type="duplicateValues" dxfId="21" priority="837"/>
  </conditionalFormatting>
  <conditionalFormatting sqref="D84:D85">
    <cfRule type="duplicateValues" dxfId="20" priority="838"/>
  </conditionalFormatting>
  <conditionalFormatting sqref="B84:B85">
    <cfRule type="duplicateValues" dxfId="19" priority="839"/>
  </conditionalFormatting>
  <conditionalFormatting sqref="D82:D85">
    <cfRule type="duplicateValues" dxfId="18" priority="840"/>
  </conditionalFormatting>
  <conditionalFormatting sqref="D82:D85">
    <cfRule type="duplicateValues" dxfId="17" priority="841"/>
    <cfRule type="duplicateValues" dxfId="16" priority="842"/>
  </conditionalFormatting>
  <conditionalFormatting sqref="D88">
    <cfRule type="duplicateValues" dxfId="15" priority="843"/>
  </conditionalFormatting>
  <conditionalFormatting sqref="D88">
    <cfRule type="duplicateValues" dxfId="14" priority="844"/>
    <cfRule type="duplicateValues" dxfId="13" priority="845"/>
  </conditionalFormatting>
  <conditionalFormatting sqref="B88">
    <cfRule type="duplicateValues" dxfId="12" priority="846"/>
  </conditionalFormatting>
  <conditionalFormatting sqref="B88">
    <cfRule type="duplicateValues" dxfId="11" priority="847"/>
    <cfRule type="duplicateValues" dxfId="10" priority="848"/>
  </conditionalFormatting>
  <conditionalFormatting sqref="B73">
    <cfRule type="duplicateValues" dxfId="9" priority="849"/>
  </conditionalFormatting>
  <conditionalFormatting sqref="B5:C5 C6:C89">
    <cfRule type="duplicateValues" dxfId="8" priority="850"/>
  </conditionalFormatting>
  <conditionalFormatting sqref="B5:C5 C6:C89">
    <cfRule type="duplicateValues" dxfId="7" priority="851"/>
    <cfRule type="duplicateValues" dxfId="6" priority="852"/>
  </conditionalFormatting>
  <conditionalFormatting sqref="E5:E89">
    <cfRule type="duplicateValues" dxfId="5" priority="6"/>
  </conditionalFormatting>
  <conditionalFormatting sqref="E5:E89">
    <cfRule type="duplicateValues" dxfId="4" priority="4"/>
    <cfRule type="duplicateValues" dxfId="3" priority="5"/>
  </conditionalFormatting>
  <conditionalFormatting sqref="E5:E89">
    <cfRule type="duplicateValues" dxfId="2" priority="3"/>
  </conditionalFormatting>
  <conditionalFormatting sqref="E5:E8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048149"/>
  <sheetViews>
    <sheetView topLeftCell="A37" workbookViewId="0">
      <selection activeCell="F279" sqref="F279"/>
    </sheetView>
  </sheetViews>
  <sheetFormatPr defaultRowHeight="12.75" x14ac:dyDescent="0.2"/>
  <cols>
    <col min="1" max="1" width="7" style="106" customWidth="1"/>
    <col min="2" max="2" width="5.7109375" style="106" bestFit="1" customWidth="1"/>
    <col min="3" max="3" width="26.28515625" style="106" customWidth="1"/>
    <col min="4" max="4" width="13.7109375" style="106" customWidth="1"/>
    <col min="5" max="5" width="14.7109375" style="106" bestFit="1" customWidth="1"/>
    <col min="6" max="6" width="10.7109375" style="106" bestFit="1" customWidth="1"/>
    <col min="7" max="8" width="10.7109375" style="106" hidden="1" customWidth="1"/>
    <col min="9" max="9" width="8" style="106" customWidth="1"/>
    <col min="10" max="10" width="14.42578125" style="107" bestFit="1" customWidth="1"/>
    <col min="11" max="11" width="5.28515625" style="107" hidden="1" customWidth="1"/>
    <col min="12" max="12" width="8.5703125" style="107" customWidth="1"/>
    <col min="13" max="13" width="12.42578125" style="107" hidden="1" customWidth="1"/>
    <col min="14" max="14" width="9.85546875" style="107" bestFit="1" customWidth="1"/>
    <col min="15" max="15" width="13.5703125" style="107" hidden="1" customWidth="1"/>
    <col min="16" max="16" width="14.42578125" style="107" bestFit="1" customWidth="1"/>
    <col min="17" max="17" width="9.140625" style="107" hidden="1" customWidth="1"/>
    <col min="18" max="18" width="7.7109375" style="107" hidden="1" customWidth="1"/>
    <col min="19" max="19" width="8.7109375" style="107" customWidth="1"/>
    <col min="20" max="20" width="10.85546875" style="107" customWidth="1"/>
    <col min="21" max="21" width="14.5703125" style="107" bestFit="1" customWidth="1"/>
    <col min="22" max="22" width="8.5703125" style="107" customWidth="1"/>
    <col min="23" max="23" width="7.140625" style="107" customWidth="1"/>
    <col min="24" max="24" width="6.85546875" style="107" hidden="1" customWidth="1"/>
    <col min="25" max="25" width="8.7109375" style="107" customWidth="1"/>
    <col min="26" max="26" width="14.42578125" style="107" bestFit="1" customWidth="1"/>
    <col min="27" max="27" width="10.28515625" style="107" bestFit="1" customWidth="1"/>
    <col min="28" max="28" width="14.42578125" style="107" bestFit="1" customWidth="1"/>
    <col min="29" max="29" width="8.5703125" style="106" customWidth="1"/>
    <col min="30" max="30" width="8.85546875" style="106" customWidth="1"/>
    <col min="31" max="31" width="6.85546875" style="106" hidden="1" customWidth="1"/>
    <col min="32" max="32" width="8.42578125" style="106" customWidth="1"/>
    <col min="33" max="33" width="9.5703125" style="106" customWidth="1"/>
    <col min="34" max="16384" width="9.140625" style="106"/>
  </cols>
  <sheetData>
    <row r="1" spans="1:35" ht="13.5" x14ac:dyDescent="0.25">
      <c r="B1" s="105"/>
      <c r="C1" s="106" t="s">
        <v>24</v>
      </c>
    </row>
    <row r="2" spans="1:35" x14ac:dyDescent="0.2">
      <c r="B2" s="109"/>
      <c r="C2" s="106" t="s">
        <v>1706</v>
      </c>
    </row>
    <row r="3" spans="1:35" ht="13.5" thickBot="1" x14ac:dyDescent="0.25">
      <c r="I3" s="108">
        <v>28</v>
      </c>
    </row>
    <row r="4" spans="1:35" ht="13.5" x14ac:dyDescent="0.25">
      <c r="A4" s="81" t="s">
        <v>28</v>
      </c>
      <c r="B4" s="82" t="s">
        <v>26</v>
      </c>
      <c r="C4" s="83" t="s">
        <v>0</v>
      </c>
      <c r="D4" s="83" t="s">
        <v>49</v>
      </c>
      <c r="E4" s="83" t="s">
        <v>2</v>
      </c>
      <c r="F4" s="84" t="s">
        <v>1</v>
      </c>
      <c r="G4" s="84"/>
      <c r="H4" s="84"/>
      <c r="I4" s="82" t="s">
        <v>3</v>
      </c>
      <c r="J4" s="168" t="s">
        <v>4</v>
      </c>
      <c r="K4" s="168"/>
      <c r="L4" s="168"/>
      <c r="M4" s="168"/>
      <c r="N4" s="168"/>
      <c r="O4" s="168"/>
      <c r="P4" s="168"/>
      <c r="Q4" s="113"/>
      <c r="R4" s="113"/>
      <c r="S4" s="113"/>
      <c r="T4" s="113" t="s">
        <v>5</v>
      </c>
      <c r="U4" s="168" t="s">
        <v>7</v>
      </c>
      <c r="V4" s="168"/>
      <c r="W4" s="168"/>
      <c r="X4" s="168"/>
      <c r="Y4" s="113" t="s">
        <v>5</v>
      </c>
      <c r="Z4" s="113" t="s">
        <v>8</v>
      </c>
      <c r="AA4" s="82"/>
      <c r="AB4" s="113" t="s">
        <v>20</v>
      </c>
      <c r="AC4" s="169" t="s">
        <v>9</v>
      </c>
      <c r="AD4" s="169"/>
      <c r="AE4" s="169"/>
      <c r="AF4" s="84" t="s">
        <v>5</v>
      </c>
      <c r="AG4" s="86" t="s">
        <v>10</v>
      </c>
    </row>
    <row r="5" spans="1:35" ht="14.25" thickBot="1" x14ac:dyDescent="0.3">
      <c r="A5" s="87" t="s">
        <v>29</v>
      </c>
      <c r="B5" s="88" t="s">
        <v>27</v>
      </c>
      <c r="C5" s="89" t="s">
        <v>11</v>
      </c>
      <c r="D5" s="89"/>
      <c r="E5" s="89"/>
      <c r="F5" s="90"/>
      <c r="G5" s="90"/>
      <c r="H5" s="90"/>
      <c r="I5" s="91" t="s">
        <v>12</v>
      </c>
      <c r="J5" s="92" t="s">
        <v>13</v>
      </c>
      <c r="K5" s="92" t="s">
        <v>14</v>
      </c>
      <c r="L5" s="92" t="s">
        <v>15</v>
      </c>
      <c r="M5" s="88" t="s">
        <v>97</v>
      </c>
      <c r="N5" s="92" t="s">
        <v>6</v>
      </c>
      <c r="O5" s="88" t="s">
        <v>98</v>
      </c>
      <c r="P5" s="92" t="s">
        <v>22</v>
      </c>
      <c r="Q5" s="88" t="s">
        <v>1656</v>
      </c>
      <c r="R5" s="88" t="s">
        <v>1417</v>
      </c>
      <c r="S5" s="88" t="s">
        <v>1418</v>
      </c>
      <c r="T5" s="93" t="s">
        <v>16</v>
      </c>
      <c r="U5" s="93" t="s">
        <v>17</v>
      </c>
      <c r="V5" s="93" t="s">
        <v>18</v>
      </c>
      <c r="W5" s="93" t="s">
        <v>19</v>
      </c>
      <c r="X5" s="88" t="s">
        <v>31</v>
      </c>
      <c r="Y5" s="93" t="s">
        <v>16</v>
      </c>
      <c r="Z5" s="93" t="s">
        <v>20</v>
      </c>
      <c r="AA5" s="94" t="s">
        <v>21</v>
      </c>
      <c r="AB5" s="93" t="s">
        <v>288</v>
      </c>
      <c r="AC5" s="90" t="s">
        <v>17</v>
      </c>
      <c r="AD5" s="90" t="s">
        <v>18</v>
      </c>
      <c r="AE5" s="95" t="s">
        <v>31</v>
      </c>
      <c r="AF5" s="95" t="s">
        <v>16</v>
      </c>
      <c r="AG5" s="96" t="s">
        <v>20</v>
      </c>
    </row>
    <row r="6" spans="1:35" x14ac:dyDescent="0.2">
      <c r="A6" s="74" t="s">
        <v>37</v>
      </c>
      <c r="B6" s="75">
        <v>1</v>
      </c>
      <c r="C6" s="75" t="s">
        <v>33</v>
      </c>
      <c r="D6" s="97" t="s">
        <v>50</v>
      </c>
      <c r="E6" s="97" t="s">
        <v>235</v>
      </c>
      <c r="F6" s="76">
        <v>42195</v>
      </c>
      <c r="G6" s="133"/>
      <c r="H6" s="133"/>
      <c r="I6" s="75">
        <v>29</v>
      </c>
      <c r="J6" s="77">
        <f t="shared" ref="J6:J66" si="0">(5000/I$3)*I6</f>
        <v>5178.5714285714294</v>
      </c>
      <c r="K6" s="77">
        <f t="shared" ref="K6:K66" si="1">((0)/I$3)*I6</f>
        <v>0</v>
      </c>
      <c r="L6" s="77">
        <f t="shared" ref="L6:L69" si="2">(J6+K6)*5%</f>
        <v>258.9285714285715</v>
      </c>
      <c r="M6" s="77"/>
      <c r="N6" s="77">
        <f>((800)/I$3)*I6</f>
        <v>828.57142857142867</v>
      </c>
      <c r="O6" s="77"/>
      <c r="P6" s="77">
        <f>((1950+2484+509+1883+1717)/I$3)*I6</f>
        <v>8848.1071428571413</v>
      </c>
      <c r="Q6" s="77"/>
      <c r="R6" s="77">
        <v>0</v>
      </c>
      <c r="S6" s="77">
        <v>0</v>
      </c>
      <c r="T6" s="77">
        <f t="shared" ref="T6:T37" si="3">SUM(J6:S6)</f>
        <v>15114.178571428571</v>
      </c>
      <c r="U6" s="78">
        <f t="shared" ref="U6:U69" si="4">(J6+K6)*12%</f>
        <v>621.42857142857144</v>
      </c>
      <c r="V6" s="78">
        <f>ROUNDUP(((T6)*1.75%),0)</f>
        <v>265</v>
      </c>
      <c r="W6" s="77">
        <v>0</v>
      </c>
      <c r="X6" s="77">
        <v>0</v>
      </c>
      <c r="Y6" s="77">
        <f t="shared" ref="Y6:Y10" si="5">SUM(U6:X6)</f>
        <v>886.42857142857144</v>
      </c>
      <c r="Z6" s="121">
        <f t="shared" ref="Z6:Z66" si="6">T6-Y6</f>
        <v>14227.75</v>
      </c>
      <c r="AA6" s="77">
        <v>0</v>
      </c>
      <c r="AB6" s="77">
        <f t="shared" ref="AB6:AB66" si="7">Z6-AA6</f>
        <v>14227.75</v>
      </c>
      <c r="AC6" s="78">
        <f t="shared" ref="AC6:AC69" si="8">(J6+K6)*13.15%</f>
        <v>680.982142857143</v>
      </c>
      <c r="AD6" s="78">
        <f t="shared" ref="AD6:AD66" si="9">CEILING((T6)*4.75%,1)</f>
        <v>718</v>
      </c>
      <c r="AE6" s="79">
        <f t="shared" ref="AE6:AE66" si="10">X6*3</f>
        <v>0</v>
      </c>
      <c r="AF6" s="80">
        <f t="shared" ref="AF6:AF10" si="11">SUM(AC6:AE6)</f>
        <v>1398.9821428571431</v>
      </c>
      <c r="AG6" s="80">
        <f t="shared" ref="AG6:AG66" si="12">T6+AF6</f>
        <v>16513.160714285714</v>
      </c>
    </row>
    <row r="7" spans="1:35" x14ac:dyDescent="0.2">
      <c r="A7" s="74" t="s">
        <v>38</v>
      </c>
      <c r="B7" s="75">
        <f t="shared" ref="B7:B67" si="13">B6+1</f>
        <v>2</v>
      </c>
      <c r="C7" s="75" t="s">
        <v>34</v>
      </c>
      <c r="D7" s="97" t="s">
        <v>50</v>
      </c>
      <c r="E7" s="97" t="s">
        <v>232</v>
      </c>
      <c r="F7" s="76">
        <v>42205</v>
      </c>
      <c r="G7" s="133"/>
      <c r="H7" s="133"/>
      <c r="I7" s="75">
        <v>31</v>
      </c>
      <c r="J7" s="68">
        <f t="shared" si="0"/>
        <v>5535.7142857142862</v>
      </c>
      <c r="K7" s="68">
        <f t="shared" si="1"/>
        <v>0</v>
      </c>
      <c r="L7" s="68">
        <f t="shared" si="2"/>
        <v>276.78571428571433</v>
      </c>
      <c r="M7" s="68"/>
      <c r="N7" s="68">
        <f>((800+800)/I$3)*I7</f>
        <v>1771.4285714285716</v>
      </c>
      <c r="O7" s="68"/>
      <c r="P7" s="68">
        <f>((1950+2484+5816+2890)/I$3)*I7</f>
        <v>14547.857142857143</v>
      </c>
      <c r="Q7" s="68"/>
      <c r="R7" s="68">
        <v>0</v>
      </c>
      <c r="S7" s="68">
        <v>0</v>
      </c>
      <c r="T7" s="68">
        <f t="shared" si="3"/>
        <v>22131.785714285717</v>
      </c>
      <c r="U7" s="69">
        <f t="shared" si="4"/>
        <v>664.28571428571433</v>
      </c>
      <c r="V7" s="69">
        <f t="shared" ref="V7:V67" si="14">ROUNDUP((T7*1.75%),0)</f>
        <v>388</v>
      </c>
      <c r="W7" s="68">
        <v>0</v>
      </c>
      <c r="X7" s="68">
        <v>0</v>
      </c>
      <c r="Y7" s="68">
        <f t="shared" si="5"/>
        <v>1052.2857142857142</v>
      </c>
      <c r="Z7" s="68">
        <f t="shared" si="6"/>
        <v>21079.500000000004</v>
      </c>
      <c r="AA7" s="68">
        <v>0</v>
      </c>
      <c r="AB7" s="68">
        <f t="shared" si="7"/>
        <v>21079.500000000004</v>
      </c>
      <c r="AC7" s="69">
        <f t="shared" si="8"/>
        <v>727.94642857142867</v>
      </c>
      <c r="AD7" s="69">
        <f t="shared" si="9"/>
        <v>1052</v>
      </c>
      <c r="AE7" s="70">
        <f t="shared" si="10"/>
        <v>0</v>
      </c>
      <c r="AF7" s="71">
        <f t="shared" si="11"/>
        <v>1779.9464285714287</v>
      </c>
      <c r="AG7" s="71">
        <f t="shared" si="12"/>
        <v>23911.732142857145</v>
      </c>
    </row>
    <row r="8" spans="1:35" x14ac:dyDescent="0.2">
      <c r="A8" s="74" t="s">
        <v>41</v>
      </c>
      <c r="B8" s="75">
        <f t="shared" si="13"/>
        <v>3</v>
      </c>
      <c r="C8" s="75" t="s">
        <v>39</v>
      </c>
      <c r="D8" s="97" t="s">
        <v>50</v>
      </c>
      <c r="E8" s="97" t="s">
        <v>234</v>
      </c>
      <c r="F8" s="76">
        <v>42261</v>
      </c>
      <c r="G8" s="133"/>
      <c r="H8" s="133"/>
      <c r="I8" s="75">
        <v>23</v>
      </c>
      <c r="J8" s="68">
        <f t="shared" si="0"/>
        <v>4107.1428571428578</v>
      </c>
      <c r="K8" s="68">
        <f t="shared" si="1"/>
        <v>0</v>
      </c>
      <c r="L8" s="68">
        <f t="shared" si="2"/>
        <v>205.35714285714289</v>
      </c>
      <c r="M8" s="68"/>
      <c r="N8" s="68">
        <f t="shared" ref="N8:N71" si="15">((800)/I$3)*I8</f>
        <v>657.14285714285722</v>
      </c>
      <c r="O8" s="68"/>
      <c r="P8" s="68">
        <f>((1950+2484+1018+1633)/I$3)*I8</f>
        <v>5819.8214285714284</v>
      </c>
      <c r="Q8" s="68"/>
      <c r="R8" s="68">
        <v>0</v>
      </c>
      <c r="S8" s="68">
        <v>0</v>
      </c>
      <c r="T8" s="68">
        <f t="shared" si="3"/>
        <v>10789.464285714286</v>
      </c>
      <c r="U8" s="69">
        <f t="shared" si="4"/>
        <v>492.85714285714289</v>
      </c>
      <c r="V8" s="69">
        <f t="shared" si="14"/>
        <v>189</v>
      </c>
      <c r="W8" s="68">
        <v>0</v>
      </c>
      <c r="X8" s="68">
        <v>0</v>
      </c>
      <c r="Y8" s="68">
        <f t="shared" si="5"/>
        <v>681.85714285714289</v>
      </c>
      <c r="Z8" s="101">
        <f t="shared" si="6"/>
        <v>10107.607142857143</v>
      </c>
      <c r="AA8" s="68">
        <v>0</v>
      </c>
      <c r="AB8" s="68">
        <f t="shared" si="7"/>
        <v>10107.607142857143</v>
      </c>
      <c r="AC8" s="69">
        <f t="shared" si="8"/>
        <v>540.08928571428578</v>
      </c>
      <c r="AD8" s="69">
        <f t="shared" si="9"/>
        <v>513</v>
      </c>
      <c r="AE8" s="70">
        <f t="shared" si="10"/>
        <v>0</v>
      </c>
      <c r="AF8" s="71">
        <f t="shared" si="11"/>
        <v>1053.0892857142858</v>
      </c>
      <c r="AG8" s="71">
        <f t="shared" si="12"/>
        <v>11842.553571428572</v>
      </c>
    </row>
    <row r="9" spans="1:35" s="59" customFormat="1" x14ac:dyDescent="0.2">
      <c r="A9" s="74" t="s">
        <v>43</v>
      </c>
      <c r="B9" s="75">
        <f t="shared" si="13"/>
        <v>4</v>
      </c>
      <c r="C9" s="75" t="s">
        <v>489</v>
      </c>
      <c r="D9" s="97" t="s">
        <v>50</v>
      </c>
      <c r="E9" s="97" t="s">
        <v>237</v>
      </c>
      <c r="F9" s="76">
        <v>42278</v>
      </c>
      <c r="G9" s="133"/>
      <c r="H9" s="133"/>
      <c r="I9" s="75">
        <v>28</v>
      </c>
      <c r="J9" s="101">
        <f t="shared" si="0"/>
        <v>5000</v>
      </c>
      <c r="K9" s="101">
        <f t="shared" si="1"/>
        <v>0</v>
      </c>
      <c r="L9" s="101">
        <f t="shared" si="2"/>
        <v>250</v>
      </c>
      <c r="M9" s="101"/>
      <c r="N9" s="101">
        <f t="shared" si="15"/>
        <v>800</v>
      </c>
      <c r="O9" s="101"/>
      <c r="P9" s="101">
        <f>((1950+2484+509+1069+1984+2016)/I$3)*I9</f>
        <v>10012</v>
      </c>
      <c r="Q9" s="101"/>
      <c r="R9" s="101">
        <v>0</v>
      </c>
      <c r="S9" s="101">
        <v>0</v>
      </c>
      <c r="T9" s="101">
        <f t="shared" si="3"/>
        <v>16062</v>
      </c>
      <c r="U9" s="102">
        <f t="shared" si="4"/>
        <v>600</v>
      </c>
      <c r="V9" s="102">
        <f t="shared" si="14"/>
        <v>282</v>
      </c>
      <c r="W9" s="101">
        <v>0</v>
      </c>
      <c r="X9" s="101">
        <v>0</v>
      </c>
      <c r="Y9" s="101">
        <f t="shared" si="5"/>
        <v>882</v>
      </c>
      <c r="Z9" s="101">
        <f t="shared" si="6"/>
        <v>15180</v>
      </c>
      <c r="AA9" s="101">
        <v>0</v>
      </c>
      <c r="AB9" s="101">
        <f t="shared" si="7"/>
        <v>15180</v>
      </c>
      <c r="AC9" s="102">
        <f t="shared" si="8"/>
        <v>657.5</v>
      </c>
      <c r="AD9" s="102">
        <f t="shared" si="9"/>
        <v>763</v>
      </c>
      <c r="AE9" s="103">
        <f t="shared" si="10"/>
        <v>0</v>
      </c>
      <c r="AF9" s="104">
        <f t="shared" si="11"/>
        <v>1420.5</v>
      </c>
      <c r="AG9" s="104">
        <f t="shared" si="12"/>
        <v>17482.5</v>
      </c>
      <c r="AH9" s="106"/>
      <c r="AI9" s="106"/>
    </row>
    <row r="10" spans="1:35" x14ac:dyDescent="0.2">
      <c r="A10" s="74" t="s">
        <v>57</v>
      </c>
      <c r="B10" s="75">
        <f t="shared" si="13"/>
        <v>5</v>
      </c>
      <c r="C10" s="75" t="s">
        <v>47</v>
      </c>
      <c r="D10" s="97" t="s">
        <v>50</v>
      </c>
      <c r="E10" s="97" t="s">
        <v>234</v>
      </c>
      <c r="F10" s="76">
        <v>42348</v>
      </c>
      <c r="G10" s="133"/>
      <c r="H10" s="133"/>
      <c r="I10" s="75">
        <v>13</v>
      </c>
      <c r="J10" s="68">
        <f t="shared" si="0"/>
        <v>2321.4285714285716</v>
      </c>
      <c r="K10" s="68">
        <f t="shared" si="1"/>
        <v>0</v>
      </c>
      <c r="L10" s="68">
        <f t="shared" si="2"/>
        <v>116.07142857142858</v>
      </c>
      <c r="M10" s="68"/>
      <c r="N10" s="68">
        <f t="shared" si="15"/>
        <v>371.42857142857144</v>
      </c>
      <c r="O10" s="68"/>
      <c r="P10" s="68">
        <f>((1950+2484+2036+0)/I$3)*I10</f>
        <v>3003.9285714285716</v>
      </c>
      <c r="Q10" s="68"/>
      <c r="R10" s="68">
        <v>0</v>
      </c>
      <c r="S10" s="68">
        <v>0</v>
      </c>
      <c r="T10" s="68">
        <f t="shared" si="3"/>
        <v>5812.8571428571431</v>
      </c>
      <c r="U10" s="69">
        <f t="shared" si="4"/>
        <v>278.57142857142856</v>
      </c>
      <c r="V10" s="69">
        <f t="shared" si="14"/>
        <v>102</v>
      </c>
      <c r="W10" s="68">
        <v>0</v>
      </c>
      <c r="X10" s="68">
        <v>0</v>
      </c>
      <c r="Y10" s="68">
        <f t="shared" si="5"/>
        <v>380.57142857142856</v>
      </c>
      <c r="Z10" s="68">
        <f t="shared" si="6"/>
        <v>5432.2857142857147</v>
      </c>
      <c r="AA10" s="68">
        <v>0</v>
      </c>
      <c r="AB10" s="68">
        <f t="shared" si="7"/>
        <v>5432.2857142857147</v>
      </c>
      <c r="AC10" s="69">
        <f t="shared" si="8"/>
        <v>305.26785714285717</v>
      </c>
      <c r="AD10" s="69">
        <f t="shared" si="9"/>
        <v>277</v>
      </c>
      <c r="AE10" s="70">
        <f t="shared" si="10"/>
        <v>0</v>
      </c>
      <c r="AF10" s="71">
        <f t="shared" si="11"/>
        <v>582.26785714285711</v>
      </c>
      <c r="AG10" s="71">
        <f t="shared" si="12"/>
        <v>6395.125</v>
      </c>
    </row>
    <row r="11" spans="1:35" x14ac:dyDescent="0.2">
      <c r="A11" s="74" t="s">
        <v>77</v>
      </c>
      <c r="B11" s="75">
        <f t="shared" si="13"/>
        <v>6</v>
      </c>
      <c r="C11" s="75" t="s">
        <v>64</v>
      </c>
      <c r="D11" s="97" t="s">
        <v>50</v>
      </c>
      <c r="E11" s="97" t="s">
        <v>239</v>
      </c>
      <c r="F11" s="76">
        <v>42461</v>
      </c>
      <c r="G11" s="133"/>
      <c r="H11" s="133"/>
      <c r="I11" s="75">
        <v>29</v>
      </c>
      <c r="J11" s="68">
        <f t="shared" si="0"/>
        <v>5178.5714285714294</v>
      </c>
      <c r="K11" s="68">
        <f t="shared" si="1"/>
        <v>0</v>
      </c>
      <c r="L11" s="68">
        <f t="shared" si="2"/>
        <v>258.9285714285715</v>
      </c>
      <c r="M11" s="68"/>
      <c r="N11" s="68">
        <f t="shared" si="15"/>
        <v>828.57142857142867</v>
      </c>
      <c r="O11" s="68"/>
      <c r="P11" s="68">
        <f>((1950+1441+1552+1934)/I$3)*I11</f>
        <v>7122.6071428571431</v>
      </c>
      <c r="Q11" s="68"/>
      <c r="R11" s="68">
        <v>0</v>
      </c>
      <c r="S11" s="68">
        <v>0</v>
      </c>
      <c r="T11" s="68">
        <f t="shared" si="3"/>
        <v>13388.678571428572</v>
      </c>
      <c r="U11" s="69">
        <f t="shared" si="4"/>
        <v>621.42857142857144</v>
      </c>
      <c r="V11" s="69">
        <f t="shared" si="14"/>
        <v>235</v>
      </c>
      <c r="W11" s="68">
        <v>0</v>
      </c>
      <c r="X11" s="68">
        <v>0</v>
      </c>
      <c r="Y11" s="68">
        <f t="shared" ref="Y11:Y15" si="16">SUM(U11:X11)</f>
        <v>856.42857142857144</v>
      </c>
      <c r="Z11" s="68">
        <f t="shared" si="6"/>
        <v>12532.250000000002</v>
      </c>
      <c r="AA11" s="68">
        <v>0</v>
      </c>
      <c r="AB11" s="68">
        <f t="shared" si="7"/>
        <v>12532.250000000002</v>
      </c>
      <c r="AC11" s="69">
        <f t="shared" si="8"/>
        <v>680.982142857143</v>
      </c>
      <c r="AD11" s="69">
        <f t="shared" si="9"/>
        <v>636</v>
      </c>
      <c r="AE11" s="70">
        <f t="shared" si="10"/>
        <v>0</v>
      </c>
      <c r="AF11" s="71">
        <f t="shared" ref="AF11:AF15" si="17">SUM(AC11:AE11)</f>
        <v>1316.9821428571431</v>
      </c>
      <c r="AG11" s="71">
        <f t="shared" si="12"/>
        <v>14705.660714285716</v>
      </c>
    </row>
    <row r="12" spans="1:35" x14ac:dyDescent="0.2">
      <c r="A12" s="74" t="s">
        <v>78</v>
      </c>
      <c r="B12" s="75">
        <f t="shared" si="13"/>
        <v>7</v>
      </c>
      <c r="C12" s="75" t="s">
        <v>490</v>
      </c>
      <c r="D12" s="97" t="s">
        <v>50</v>
      </c>
      <c r="E12" s="97" t="s">
        <v>239</v>
      </c>
      <c r="F12" s="76">
        <v>42461</v>
      </c>
      <c r="G12" s="133"/>
      <c r="H12" s="133"/>
      <c r="I12" s="75">
        <v>29</v>
      </c>
      <c r="J12" s="68">
        <f t="shared" si="0"/>
        <v>5178.5714285714294</v>
      </c>
      <c r="K12" s="68">
        <f t="shared" si="1"/>
        <v>0</v>
      </c>
      <c r="L12" s="68">
        <f t="shared" si="2"/>
        <v>258.9285714285715</v>
      </c>
      <c r="M12" s="68"/>
      <c r="N12" s="68">
        <f t="shared" si="15"/>
        <v>828.57142857142867</v>
      </c>
      <c r="O12" s="68"/>
      <c r="P12" s="68">
        <f>((1950+1441+1552+1374)/I$3)*I12</f>
        <v>6542.6071428571431</v>
      </c>
      <c r="Q12" s="68"/>
      <c r="R12" s="68">
        <v>0</v>
      </c>
      <c r="S12" s="68">
        <v>0</v>
      </c>
      <c r="T12" s="68">
        <f t="shared" si="3"/>
        <v>12808.678571428572</v>
      </c>
      <c r="U12" s="69">
        <f t="shared" si="4"/>
        <v>621.42857142857144</v>
      </c>
      <c r="V12" s="69">
        <f t="shared" si="14"/>
        <v>225</v>
      </c>
      <c r="W12" s="68">
        <v>0</v>
      </c>
      <c r="X12" s="68">
        <v>0</v>
      </c>
      <c r="Y12" s="68">
        <f t="shared" si="16"/>
        <v>846.42857142857144</v>
      </c>
      <c r="Z12" s="68">
        <f t="shared" si="6"/>
        <v>11962.250000000002</v>
      </c>
      <c r="AA12" s="68">
        <v>0</v>
      </c>
      <c r="AB12" s="68">
        <f t="shared" si="7"/>
        <v>11962.250000000002</v>
      </c>
      <c r="AC12" s="69">
        <f t="shared" si="8"/>
        <v>680.982142857143</v>
      </c>
      <c r="AD12" s="69">
        <f t="shared" si="9"/>
        <v>609</v>
      </c>
      <c r="AE12" s="70">
        <f t="shared" si="10"/>
        <v>0</v>
      </c>
      <c r="AF12" s="71">
        <f t="shared" si="17"/>
        <v>1289.9821428571431</v>
      </c>
      <c r="AG12" s="71">
        <f t="shared" si="12"/>
        <v>14098.660714285716</v>
      </c>
    </row>
    <row r="13" spans="1:35" x14ac:dyDescent="0.2">
      <c r="A13" s="74" t="s">
        <v>79</v>
      </c>
      <c r="B13" s="75">
        <f t="shared" si="13"/>
        <v>8</v>
      </c>
      <c r="C13" s="75" t="s">
        <v>65</v>
      </c>
      <c r="D13" s="97" t="s">
        <v>50</v>
      </c>
      <c r="E13" s="97" t="s">
        <v>240</v>
      </c>
      <c r="F13" s="76">
        <v>42461</v>
      </c>
      <c r="G13" s="133"/>
      <c r="H13" s="133"/>
      <c r="I13" s="75">
        <v>32</v>
      </c>
      <c r="J13" s="68">
        <f t="shared" si="0"/>
        <v>5714.2857142857147</v>
      </c>
      <c r="K13" s="68">
        <f t="shared" si="1"/>
        <v>0</v>
      </c>
      <c r="L13" s="68">
        <f t="shared" si="2"/>
        <v>285.71428571428572</v>
      </c>
      <c r="M13" s="68"/>
      <c r="N13" s="68">
        <f t="shared" si="15"/>
        <v>914.28571428571433</v>
      </c>
      <c r="O13" s="68"/>
      <c r="P13" s="68">
        <f>((1950+1441+2000)/I$3)*I13</f>
        <v>6161.1428571428569</v>
      </c>
      <c r="Q13" s="68"/>
      <c r="R13" s="68">
        <v>0</v>
      </c>
      <c r="S13" s="68">
        <v>0</v>
      </c>
      <c r="T13" s="68">
        <f t="shared" si="3"/>
        <v>13075.428571428572</v>
      </c>
      <c r="U13" s="69">
        <f t="shared" si="4"/>
        <v>685.71428571428578</v>
      </c>
      <c r="V13" s="69">
        <f t="shared" si="14"/>
        <v>229</v>
      </c>
      <c r="W13" s="68">
        <v>0</v>
      </c>
      <c r="X13" s="68">
        <v>0</v>
      </c>
      <c r="Y13" s="68">
        <f t="shared" si="16"/>
        <v>914.71428571428578</v>
      </c>
      <c r="Z13" s="68">
        <f t="shared" si="6"/>
        <v>12160.714285714286</v>
      </c>
      <c r="AA13" s="68">
        <v>0</v>
      </c>
      <c r="AB13" s="68">
        <f t="shared" si="7"/>
        <v>12160.714285714286</v>
      </c>
      <c r="AC13" s="69">
        <f t="shared" si="8"/>
        <v>751.42857142857156</v>
      </c>
      <c r="AD13" s="69">
        <f t="shared" si="9"/>
        <v>622</v>
      </c>
      <c r="AE13" s="70">
        <f t="shared" si="10"/>
        <v>0</v>
      </c>
      <c r="AF13" s="71">
        <f t="shared" si="17"/>
        <v>1373.4285714285716</v>
      </c>
      <c r="AG13" s="71">
        <f t="shared" si="12"/>
        <v>14448.857142857145</v>
      </c>
    </row>
    <row r="14" spans="1:35" x14ac:dyDescent="0.2">
      <c r="A14" s="74" t="s">
        <v>80</v>
      </c>
      <c r="B14" s="75">
        <f t="shared" si="13"/>
        <v>9</v>
      </c>
      <c r="C14" s="75" t="s">
        <v>485</v>
      </c>
      <c r="D14" s="97" t="s">
        <v>50</v>
      </c>
      <c r="E14" s="97" t="s">
        <v>484</v>
      </c>
      <c r="F14" s="76">
        <v>42461</v>
      </c>
      <c r="G14" s="133"/>
      <c r="H14" s="133"/>
      <c r="I14" s="75">
        <v>32</v>
      </c>
      <c r="J14" s="68">
        <f t="shared" si="0"/>
        <v>5714.2857142857147</v>
      </c>
      <c r="K14" s="68">
        <f t="shared" si="1"/>
        <v>0</v>
      </c>
      <c r="L14" s="68">
        <f t="shared" si="2"/>
        <v>285.71428571428572</v>
      </c>
      <c r="M14" s="68"/>
      <c r="N14" s="68">
        <f t="shared" si="15"/>
        <v>914.28571428571433</v>
      </c>
      <c r="O14" s="68"/>
      <c r="P14" s="68">
        <f>((1950+1441+1806)/I$3)*I14</f>
        <v>5939.4285714285716</v>
      </c>
      <c r="Q14" s="68"/>
      <c r="R14" s="68">
        <v>0</v>
      </c>
      <c r="S14" s="68">
        <v>0</v>
      </c>
      <c r="T14" s="68">
        <f t="shared" si="3"/>
        <v>12853.714285714286</v>
      </c>
      <c r="U14" s="69">
        <f t="shared" si="4"/>
        <v>685.71428571428578</v>
      </c>
      <c r="V14" s="69">
        <f t="shared" si="14"/>
        <v>225</v>
      </c>
      <c r="W14" s="68">
        <v>0</v>
      </c>
      <c r="X14" s="68">
        <v>0</v>
      </c>
      <c r="Y14" s="68">
        <f t="shared" si="16"/>
        <v>910.71428571428578</v>
      </c>
      <c r="Z14" s="68">
        <f t="shared" si="6"/>
        <v>11943</v>
      </c>
      <c r="AA14" s="68">
        <v>0</v>
      </c>
      <c r="AB14" s="68">
        <f t="shared" si="7"/>
        <v>11943</v>
      </c>
      <c r="AC14" s="69">
        <f t="shared" si="8"/>
        <v>751.42857142857156</v>
      </c>
      <c r="AD14" s="69">
        <f t="shared" si="9"/>
        <v>611</v>
      </c>
      <c r="AE14" s="70">
        <f t="shared" si="10"/>
        <v>0</v>
      </c>
      <c r="AF14" s="71">
        <f t="shared" si="17"/>
        <v>1362.4285714285716</v>
      </c>
      <c r="AG14" s="71">
        <f t="shared" si="12"/>
        <v>14216.142857142859</v>
      </c>
    </row>
    <row r="15" spans="1:35" x14ac:dyDescent="0.2">
      <c r="A15" s="74" t="s">
        <v>81</v>
      </c>
      <c r="B15" s="75">
        <f t="shared" si="13"/>
        <v>10</v>
      </c>
      <c r="C15" s="75" t="s">
        <v>66</v>
      </c>
      <c r="D15" s="97" t="s">
        <v>50</v>
      </c>
      <c r="E15" s="97" t="s">
        <v>484</v>
      </c>
      <c r="F15" s="76">
        <v>42461</v>
      </c>
      <c r="G15" s="133"/>
      <c r="H15" s="133"/>
      <c r="I15" s="75">
        <v>32</v>
      </c>
      <c r="J15" s="68">
        <f t="shared" si="0"/>
        <v>5714.2857142857147</v>
      </c>
      <c r="K15" s="68">
        <f t="shared" si="1"/>
        <v>0</v>
      </c>
      <c r="L15" s="68">
        <f t="shared" si="2"/>
        <v>285.71428571428572</v>
      </c>
      <c r="M15" s="68"/>
      <c r="N15" s="68">
        <f t="shared" si="15"/>
        <v>914.28571428571433</v>
      </c>
      <c r="O15" s="68"/>
      <c r="P15" s="68">
        <f>((1950+1441+1806)/I$3)*I15</f>
        <v>5939.4285714285716</v>
      </c>
      <c r="Q15" s="68"/>
      <c r="R15" s="68">
        <v>0</v>
      </c>
      <c r="S15" s="68">
        <v>0</v>
      </c>
      <c r="T15" s="68">
        <f t="shared" si="3"/>
        <v>12853.714285714286</v>
      </c>
      <c r="U15" s="69">
        <f t="shared" si="4"/>
        <v>685.71428571428578</v>
      </c>
      <c r="V15" s="69">
        <f t="shared" si="14"/>
        <v>225</v>
      </c>
      <c r="W15" s="68">
        <v>0</v>
      </c>
      <c r="X15" s="68">
        <v>0</v>
      </c>
      <c r="Y15" s="68">
        <f t="shared" si="16"/>
        <v>910.71428571428578</v>
      </c>
      <c r="Z15" s="68">
        <f t="shared" si="6"/>
        <v>11943</v>
      </c>
      <c r="AA15" s="68">
        <v>0</v>
      </c>
      <c r="AB15" s="68">
        <f t="shared" si="7"/>
        <v>11943</v>
      </c>
      <c r="AC15" s="69">
        <f t="shared" si="8"/>
        <v>751.42857142857156</v>
      </c>
      <c r="AD15" s="69">
        <f t="shared" si="9"/>
        <v>611</v>
      </c>
      <c r="AE15" s="70">
        <f t="shared" si="10"/>
        <v>0</v>
      </c>
      <c r="AF15" s="71">
        <f t="shared" si="17"/>
        <v>1362.4285714285716</v>
      </c>
      <c r="AG15" s="71">
        <f t="shared" si="12"/>
        <v>14216.142857142859</v>
      </c>
    </row>
    <row r="16" spans="1:35" x14ac:dyDescent="0.2">
      <c r="A16" s="74" t="s">
        <v>90</v>
      </c>
      <c r="B16" s="75">
        <f t="shared" si="13"/>
        <v>11</v>
      </c>
      <c r="C16" s="75" t="s">
        <v>233</v>
      </c>
      <c r="D16" s="97" t="s">
        <v>50</v>
      </c>
      <c r="E16" s="97" t="s">
        <v>240</v>
      </c>
      <c r="F16" s="76">
        <v>42492</v>
      </c>
      <c r="G16" s="133"/>
      <c r="H16" s="133"/>
      <c r="I16" s="75">
        <v>30</v>
      </c>
      <c r="J16" s="68">
        <f t="shared" si="0"/>
        <v>5357.1428571428578</v>
      </c>
      <c r="K16" s="68">
        <f t="shared" si="1"/>
        <v>0</v>
      </c>
      <c r="L16" s="68">
        <f t="shared" si="2"/>
        <v>267.85714285714289</v>
      </c>
      <c r="M16" s="68"/>
      <c r="N16" s="68">
        <f t="shared" si="15"/>
        <v>857.14285714285722</v>
      </c>
      <c r="O16" s="68"/>
      <c r="P16" s="68">
        <f>((1950+1441+3588+3328)/I$3)*I16</f>
        <v>11043.214285714284</v>
      </c>
      <c r="Q16" s="68"/>
      <c r="R16" s="68">
        <v>0</v>
      </c>
      <c r="S16" s="68">
        <v>0</v>
      </c>
      <c r="T16" s="68">
        <f t="shared" si="3"/>
        <v>17525.357142857141</v>
      </c>
      <c r="U16" s="69">
        <f t="shared" si="4"/>
        <v>642.85714285714289</v>
      </c>
      <c r="V16" s="69">
        <f t="shared" si="14"/>
        <v>307</v>
      </c>
      <c r="W16" s="68">
        <v>0</v>
      </c>
      <c r="X16" s="68">
        <v>0</v>
      </c>
      <c r="Y16" s="68">
        <f t="shared" ref="Y16" si="18">SUM(U16:X16)</f>
        <v>949.85714285714289</v>
      </c>
      <c r="Z16" s="68">
        <f t="shared" si="6"/>
        <v>16575.5</v>
      </c>
      <c r="AA16" s="68">
        <v>0</v>
      </c>
      <c r="AB16" s="68">
        <f t="shared" si="7"/>
        <v>16575.5</v>
      </c>
      <c r="AC16" s="69">
        <f t="shared" si="8"/>
        <v>704.46428571428578</v>
      </c>
      <c r="AD16" s="69">
        <f t="shared" si="9"/>
        <v>833</v>
      </c>
      <c r="AE16" s="70">
        <f t="shared" si="10"/>
        <v>0</v>
      </c>
      <c r="AF16" s="71">
        <f t="shared" ref="AF16" si="19">SUM(AC16:AE16)</f>
        <v>1537.4642857142858</v>
      </c>
      <c r="AG16" s="71">
        <f t="shared" si="12"/>
        <v>19062.821428571428</v>
      </c>
    </row>
    <row r="17" spans="1:33" x14ac:dyDescent="0.2">
      <c r="A17" s="74" t="s">
        <v>92</v>
      </c>
      <c r="B17" s="75">
        <f t="shared" si="13"/>
        <v>12</v>
      </c>
      <c r="C17" s="75" t="s">
        <v>72</v>
      </c>
      <c r="D17" s="97" t="s">
        <v>50</v>
      </c>
      <c r="E17" s="97" t="s">
        <v>484</v>
      </c>
      <c r="F17" s="76">
        <v>42491</v>
      </c>
      <c r="G17" s="133"/>
      <c r="H17" s="133"/>
      <c r="I17" s="75">
        <v>29</v>
      </c>
      <c r="J17" s="68">
        <f t="shared" si="0"/>
        <v>5178.5714285714294</v>
      </c>
      <c r="K17" s="68">
        <f t="shared" si="1"/>
        <v>0</v>
      </c>
      <c r="L17" s="68">
        <f t="shared" si="2"/>
        <v>258.9285714285715</v>
      </c>
      <c r="M17" s="68"/>
      <c r="N17" s="68">
        <f t="shared" si="15"/>
        <v>828.57142857142867</v>
      </c>
      <c r="O17" s="68"/>
      <c r="P17" s="68">
        <f>((1950+1441+1857)/I$3)*I17</f>
        <v>5435.4285714285706</v>
      </c>
      <c r="Q17" s="68"/>
      <c r="R17" s="68">
        <v>0</v>
      </c>
      <c r="S17" s="68">
        <v>0</v>
      </c>
      <c r="T17" s="68">
        <f t="shared" si="3"/>
        <v>11701.5</v>
      </c>
      <c r="U17" s="69">
        <f t="shared" si="4"/>
        <v>621.42857142857144</v>
      </c>
      <c r="V17" s="69">
        <f t="shared" si="14"/>
        <v>205</v>
      </c>
      <c r="W17" s="68">
        <v>0</v>
      </c>
      <c r="X17" s="68">
        <v>0</v>
      </c>
      <c r="Y17" s="68">
        <f t="shared" ref="Y17:Y19" si="20">SUM(U17:X17)</f>
        <v>826.42857142857144</v>
      </c>
      <c r="Z17" s="68">
        <f t="shared" si="6"/>
        <v>10875.071428571429</v>
      </c>
      <c r="AA17" s="68">
        <v>0</v>
      </c>
      <c r="AB17" s="68">
        <f t="shared" si="7"/>
        <v>10875.071428571429</v>
      </c>
      <c r="AC17" s="69">
        <f t="shared" si="8"/>
        <v>680.982142857143</v>
      </c>
      <c r="AD17" s="69">
        <f t="shared" si="9"/>
        <v>556</v>
      </c>
      <c r="AE17" s="70">
        <f t="shared" si="10"/>
        <v>0</v>
      </c>
      <c r="AF17" s="71">
        <f t="shared" ref="AF17:AF21" si="21">SUM(AC17:AE17)</f>
        <v>1236.9821428571431</v>
      </c>
      <c r="AG17" s="71">
        <f t="shared" si="12"/>
        <v>12938.482142857143</v>
      </c>
    </row>
    <row r="18" spans="1:33" x14ac:dyDescent="0.2">
      <c r="A18" s="74" t="s">
        <v>101</v>
      </c>
      <c r="B18" s="75">
        <f t="shared" si="13"/>
        <v>13</v>
      </c>
      <c r="C18" s="75" t="s">
        <v>85</v>
      </c>
      <c r="D18" s="97" t="s">
        <v>50</v>
      </c>
      <c r="E18" s="97" t="s">
        <v>241</v>
      </c>
      <c r="F18" s="76">
        <v>42524</v>
      </c>
      <c r="G18" s="133"/>
      <c r="H18" s="133"/>
      <c r="I18" s="75">
        <v>32</v>
      </c>
      <c r="J18" s="68">
        <f t="shared" si="0"/>
        <v>5714.2857142857147</v>
      </c>
      <c r="K18" s="68">
        <f t="shared" si="1"/>
        <v>0</v>
      </c>
      <c r="L18" s="68">
        <f t="shared" si="2"/>
        <v>285.71428571428572</v>
      </c>
      <c r="M18" s="68"/>
      <c r="N18" s="68">
        <f t="shared" si="15"/>
        <v>914.28571428571433</v>
      </c>
      <c r="O18" s="68"/>
      <c r="P18" s="68">
        <f>((1950+1441+2290)/I$3)*I18</f>
        <v>6492.5714285714284</v>
      </c>
      <c r="Q18" s="68"/>
      <c r="R18" s="68">
        <v>0</v>
      </c>
      <c r="S18" s="68">
        <v>0</v>
      </c>
      <c r="T18" s="68">
        <f t="shared" si="3"/>
        <v>13406.857142857143</v>
      </c>
      <c r="U18" s="69">
        <f t="shared" si="4"/>
        <v>685.71428571428578</v>
      </c>
      <c r="V18" s="69">
        <f t="shared" si="14"/>
        <v>235</v>
      </c>
      <c r="W18" s="68">
        <v>0</v>
      </c>
      <c r="X18" s="68">
        <v>0</v>
      </c>
      <c r="Y18" s="68">
        <f t="shared" si="20"/>
        <v>920.71428571428578</v>
      </c>
      <c r="Z18" s="68">
        <f t="shared" si="6"/>
        <v>12486.142857142857</v>
      </c>
      <c r="AA18" s="68">
        <v>0</v>
      </c>
      <c r="AB18" s="68">
        <f t="shared" si="7"/>
        <v>12486.142857142857</v>
      </c>
      <c r="AC18" s="69">
        <f t="shared" si="8"/>
        <v>751.42857142857156</v>
      </c>
      <c r="AD18" s="69">
        <f t="shared" si="9"/>
        <v>637</v>
      </c>
      <c r="AE18" s="70">
        <f t="shared" si="10"/>
        <v>0</v>
      </c>
      <c r="AF18" s="71">
        <f t="shared" si="21"/>
        <v>1388.4285714285716</v>
      </c>
      <c r="AG18" s="71">
        <f t="shared" si="12"/>
        <v>14795.285714285714</v>
      </c>
    </row>
    <row r="19" spans="1:33" x14ac:dyDescent="0.2">
      <c r="A19" s="74" t="s">
        <v>102</v>
      </c>
      <c r="B19" s="75">
        <f t="shared" si="13"/>
        <v>14</v>
      </c>
      <c r="C19" s="75" t="s">
        <v>86</v>
      </c>
      <c r="D19" s="97" t="s">
        <v>50</v>
      </c>
      <c r="E19" s="97" t="s">
        <v>242</v>
      </c>
      <c r="F19" s="76">
        <v>42530</v>
      </c>
      <c r="G19" s="133"/>
      <c r="H19" s="133"/>
      <c r="I19" s="75">
        <v>32</v>
      </c>
      <c r="J19" s="68">
        <f t="shared" si="0"/>
        <v>5714.2857142857147</v>
      </c>
      <c r="K19" s="68">
        <f t="shared" si="1"/>
        <v>0</v>
      </c>
      <c r="L19" s="68">
        <f t="shared" si="2"/>
        <v>285.71428571428572</v>
      </c>
      <c r="M19" s="68"/>
      <c r="N19" s="68">
        <f t="shared" si="15"/>
        <v>914.28571428571433</v>
      </c>
      <c r="O19" s="68"/>
      <c r="P19" s="68">
        <f>((1950+1441+1806)/I$3)*I19</f>
        <v>5939.4285714285716</v>
      </c>
      <c r="Q19" s="68"/>
      <c r="R19" s="68">
        <v>0</v>
      </c>
      <c r="S19" s="68">
        <v>0</v>
      </c>
      <c r="T19" s="68">
        <f t="shared" si="3"/>
        <v>12853.714285714286</v>
      </c>
      <c r="U19" s="69">
        <f t="shared" si="4"/>
        <v>685.71428571428578</v>
      </c>
      <c r="V19" s="69">
        <f t="shared" si="14"/>
        <v>225</v>
      </c>
      <c r="W19" s="68">
        <v>0</v>
      </c>
      <c r="X19" s="68">
        <v>0</v>
      </c>
      <c r="Y19" s="68">
        <f t="shared" si="20"/>
        <v>910.71428571428578</v>
      </c>
      <c r="Z19" s="68">
        <f t="shared" si="6"/>
        <v>11943</v>
      </c>
      <c r="AA19" s="68">
        <v>0</v>
      </c>
      <c r="AB19" s="68">
        <f t="shared" si="7"/>
        <v>11943</v>
      </c>
      <c r="AC19" s="69">
        <f t="shared" si="8"/>
        <v>751.42857142857156</v>
      </c>
      <c r="AD19" s="69">
        <f t="shared" si="9"/>
        <v>611</v>
      </c>
      <c r="AE19" s="70">
        <f t="shared" si="10"/>
        <v>0</v>
      </c>
      <c r="AF19" s="71">
        <f t="shared" si="21"/>
        <v>1362.4285714285716</v>
      </c>
      <c r="AG19" s="71">
        <f t="shared" si="12"/>
        <v>14216.142857142859</v>
      </c>
    </row>
    <row r="20" spans="1:33" x14ac:dyDescent="0.2">
      <c r="A20" s="74" t="s">
        <v>117</v>
      </c>
      <c r="B20" s="75">
        <f t="shared" si="13"/>
        <v>15</v>
      </c>
      <c r="C20" s="75" t="s">
        <v>113</v>
      </c>
      <c r="D20" s="97" t="s">
        <v>50</v>
      </c>
      <c r="E20" s="97" t="s">
        <v>234</v>
      </c>
      <c r="F20" s="76">
        <v>42583</v>
      </c>
      <c r="G20" s="133"/>
      <c r="H20" s="133"/>
      <c r="I20" s="75">
        <v>30</v>
      </c>
      <c r="J20" s="68">
        <f t="shared" si="0"/>
        <v>5357.1428571428578</v>
      </c>
      <c r="K20" s="68">
        <f t="shared" si="1"/>
        <v>0</v>
      </c>
      <c r="L20" s="68">
        <f t="shared" si="2"/>
        <v>267.85714285714289</v>
      </c>
      <c r="M20" s="68"/>
      <c r="N20" s="68">
        <f t="shared" si="15"/>
        <v>857.14285714285722</v>
      </c>
      <c r="O20" s="68"/>
      <c r="P20" s="68">
        <f>((1950+1441+1043+814+1603)/I$3)*I20</f>
        <v>7340.3571428571422</v>
      </c>
      <c r="Q20" s="68"/>
      <c r="R20" s="68">
        <v>0</v>
      </c>
      <c r="S20" s="68">
        <v>0</v>
      </c>
      <c r="T20" s="68">
        <f t="shared" si="3"/>
        <v>13822.5</v>
      </c>
      <c r="U20" s="69">
        <f t="shared" si="4"/>
        <v>642.85714285714289</v>
      </c>
      <c r="V20" s="69">
        <f t="shared" si="14"/>
        <v>242</v>
      </c>
      <c r="W20" s="68">
        <v>0</v>
      </c>
      <c r="X20" s="68">
        <v>0</v>
      </c>
      <c r="Y20" s="68">
        <f t="shared" ref="Y20:Y21" si="22">SUM(U20:X20)</f>
        <v>884.85714285714289</v>
      </c>
      <c r="Z20" s="68">
        <f t="shared" si="6"/>
        <v>12937.642857142857</v>
      </c>
      <c r="AA20" s="68">
        <v>0</v>
      </c>
      <c r="AB20" s="68">
        <f t="shared" si="7"/>
        <v>12937.642857142857</v>
      </c>
      <c r="AC20" s="69">
        <f t="shared" si="8"/>
        <v>704.46428571428578</v>
      </c>
      <c r="AD20" s="69">
        <f t="shared" si="9"/>
        <v>657</v>
      </c>
      <c r="AE20" s="70">
        <f t="shared" si="10"/>
        <v>0</v>
      </c>
      <c r="AF20" s="71">
        <f t="shared" si="21"/>
        <v>1361.4642857142858</v>
      </c>
      <c r="AG20" s="71">
        <f t="shared" si="12"/>
        <v>15183.964285714286</v>
      </c>
    </row>
    <row r="21" spans="1:33" x14ac:dyDescent="0.2">
      <c r="A21" s="74" t="s">
        <v>118</v>
      </c>
      <c r="B21" s="75">
        <f t="shared" si="13"/>
        <v>16</v>
      </c>
      <c r="C21" s="75" t="s">
        <v>114</v>
      </c>
      <c r="D21" s="97" t="s">
        <v>50</v>
      </c>
      <c r="E21" s="97" t="s">
        <v>238</v>
      </c>
      <c r="F21" s="76">
        <v>42583</v>
      </c>
      <c r="G21" s="133"/>
      <c r="H21" s="133"/>
      <c r="I21" s="75">
        <v>17</v>
      </c>
      <c r="J21" s="68">
        <f t="shared" si="0"/>
        <v>3035.7142857142858</v>
      </c>
      <c r="K21" s="68">
        <f t="shared" si="1"/>
        <v>0</v>
      </c>
      <c r="L21" s="68">
        <f t="shared" si="2"/>
        <v>151.78571428571431</v>
      </c>
      <c r="M21" s="68"/>
      <c r="N21" s="68">
        <f t="shared" si="15"/>
        <v>485.71428571428572</v>
      </c>
      <c r="O21" s="68"/>
      <c r="P21" s="68">
        <f>((1950+1441+839+1018)/I$3)*I21</f>
        <v>3186.2857142857142</v>
      </c>
      <c r="Q21" s="68"/>
      <c r="R21" s="68">
        <v>0</v>
      </c>
      <c r="S21" s="68">
        <v>0</v>
      </c>
      <c r="T21" s="68">
        <f t="shared" si="3"/>
        <v>6859.5</v>
      </c>
      <c r="U21" s="69">
        <f t="shared" si="4"/>
        <v>364.28571428571428</v>
      </c>
      <c r="V21" s="69">
        <f t="shared" si="14"/>
        <v>121</v>
      </c>
      <c r="W21" s="68">
        <v>0</v>
      </c>
      <c r="X21" s="68">
        <v>0</v>
      </c>
      <c r="Y21" s="68">
        <f t="shared" si="22"/>
        <v>485.28571428571428</v>
      </c>
      <c r="Z21" s="68">
        <f t="shared" si="6"/>
        <v>6374.2142857142853</v>
      </c>
      <c r="AA21" s="68">
        <v>0</v>
      </c>
      <c r="AB21" s="68">
        <f t="shared" si="7"/>
        <v>6374.2142857142853</v>
      </c>
      <c r="AC21" s="69">
        <f t="shared" si="8"/>
        <v>399.19642857142861</v>
      </c>
      <c r="AD21" s="69">
        <f t="shared" si="9"/>
        <v>326</v>
      </c>
      <c r="AE21" s="70">
        <f t="shared" si="10"/>
        <v>0</v>
      </c>
      <c r="AF21" s="71">
        <f t="shared" si="21"/>
        <v>725.19642857142867</v>
      </c>
      <c r="AG21" s="71">
        <f t="shared" si="12"/>
        <v>7584.6964285714284</v>
      </c>
    </row>
    <row r="22" spans="1:33" x14ac:dyDescent="0.2">
      <c r="A22" s="74" t="s">
        <v>141</v>
      </c>
      <c r="B22" s="75">
        <f t="shared" si="13"/>
        <v>17</v>
      </c>
      <c r="C22" s="75" t="s">
        <v>128</v>
      </c>
      <c r="D22" s="97" t="s">
        <v>50</v>
      </c>
      <c r="E22" s="97" t="s">
        <v>484</v>
      </c>
      <c r="F22" s="76">
        <v>42646</v>
      </c>
      <c r="G22" s="133"/>
      <c r="H22" s="133"/>
      <c r="I22" s="75">
        <v>26</v>
      </c>
      <c r="J22" s="68">
        <f t="shared" si="0"/>
        <v>4642.8571428571431</v>
      </c>
      <c r="K22" s="68">
        <f t="shared" si="1"/>
        <v>0</v>
      </c>
      <c r="L22" s="68">
        <f t="shared" si="2"/>
        <v>232.14285714285717</v>
      </c>
      <c r="M22" s="68"/>
      <c r="N22" s="68">
        <f t="shared" si="15"/>
        <v>742.85714285714289</v>
      </c>
      <c r="O22" s="68"/>
      <c r="P22" s="68">
        <f>((1950+1441+839+1451)/I$3)*I22</f>
        <v>5275.2142857142853</v>
      </c>
      <c r="Q22" s="68"/>
      <c r="R22" s="68">
        <v>0</v>
      </c>
      <c r="S22" s="68">
        <v>0</v>
      </c>
      <c r="T22" s="68">
        <f t="shared" si="3"/>
        <v>10893.071428571428</v>
      </c>
      <c r="U22" s="69">
        <f t="shared" si="4"/>
        <v>557.14285714285711</v>
      </c>
      <c r="V22" s="69">
        <f t="shared" si="14"/>
        <v>191</v>
      </c>
      <c r="W22" s="68">
        <v>0</v>
      </c>
      <c r="X22" s="68">
        <v>0</v>
      </c>
      <c r="Y22" s="68">
        <f t="shared" ref="Y22:Y23" si="23">SUM(U22:X22)</f>
        <v>748.14285714285711</v>
      </c>
      <c r="Z22" s="101">
        <f t="shared" si="6"/>
        <v>10144.928571428571</v>
      </c>
      <c r="AA22" s="68">
        <v>0</v>
      </c>
      <c r="AB22" s="101">
        <f t="shared" si="7"/>
        <v>10144.928571428571</v>
      </c>
      <c r="AC22" s="69">
        <f t="shared" si="8"/>
        <v>610.53571428571433</v>
      </c>
      <c r="AD22" s="69">
        <f t="shared" si="9"/>
        <v>518</v>
      </c>
      <c r="AE22" s="70">
        <f t="shared" si="10"/>
        <v>0</v>
      </c>
      <c r="AF22" s="71">
        <f t="shared" ref="AF22:AF23" si="24">SUM(AC22:AE22)</f>
        <v>1128.5357142857142</v>
      </c>
      <c r="AG22" s="71">
        <f t="shared" si="12"/>
        <v>12021.607142857141</v>
      </c>
    </row>
    <row r="23" spans="1:33" x14ac:dyDescent="0.2">
      <c r="A23" s="74" t="s">
        <v>142</v>
      </c>
      <c r="B23" s="75">
        <f t="shared" si="13"/>
        <v>18</v>
      </c>
      <c r="C23" s="75" t="s">
        <v>486</v>
      </c>
      <c r="D23" s="97" t="s">
        <v>50</v>
      </c>
      <c r="E23" s="97" t="s">
        <v>484</v>
      </c>
      <c r="F23" s="76">
        <v>42648</v>
      </c>
      <c r="G23" s="133"/>
      <c r="H23" s="133"/>
      <c r="I23" s="75">
        <v>26</v>
      </c>
      <c r="J23" s="68">
        <f t="shared" si="0"/>
        <v>4642.8571428571431</v>
      </c>
      <c r="K23" s="68">
        <f t="shared" si="1"/>
        <v>0</v>
      </c>
      <c r="L23" s="68">
        <f t="shared" si="2"/>
        <v>232.14285714285717</v>
      </c>
      <c r="M23" s="68"/>
      <c r="N23" s="68">
        <f t="shared" si="15"/>
        <v>742.85714285714289</v>
      </c>
      <c r="O23" s="68"/>
      <c r="P23" s="68">
        <f>((1950+1441+839+967)/I$3)*I23</f>
        <v>4825.7857142857147</v>
      </c>
      <c r="Q23" s="68"/>
      <c r="R23" s="68">
        <v>0</v>
      </c>
      <c r="S23" s="68">
        <v>0</v>
      </c>
      <c r="T23" s="68">
        <f t="shared" si="3"/>
        <v>10443.642857142859</v>
      </c>
      <c r="U23" s="69">
        <f t="shared" si="4"/>
        <v>557.14285714285711</v>
      </c>
      <c r="V23" s="69">
        <f t="shared" si="14"/>
        <v>183</v>
      </c>
      <c r="W23" s="68">
        <v>0</v>
      </c>
      <c r="X23" s="68">
        <v>0</v>
      </c>
      <c r="Y23" s="68">
        <f t="shared" si="23"/>
        <v>740.14285714285711</v>
      </c>
      <c r="Z23" s="101">
        <f t="shared" si="6"/>
        <v>9703.5000000000018</v>
      </c>
      <c r="AA23" s="68">
        <v>0</v>
      </c>
      <c r="AB23" s="101">
        <f t="shared" si="7"/>
        <v>9703.5000000000018</v>
      </c>
      <c r="AC23" s="69">
        <f t="shared" si="8"/>
        <v>610.53571428571433</v>
      </c>
      <c r="AD23" s="69">
        <f t="shared" si="9"/>
        <v>497</v>
      </c>
      <c r="AE23" s="70">
        <f t="shared" si="10"/>
        <v>0</v>
      </c>
      <c r="AF23" s="71">
        <f t="shared" si="24"/>
        <v>1107.5357142857142</v>
      </c>
      <c r="AG23" s="71">
        <f t="shared" si="12"/>
        <v>11551.178571428572</v>
      </c>
    </row>
    <row r="24" spans="1:33" x14ac:dyDescent="0.2">
      <c r="A24" s="74" t="s">
        <v>159</v>
      </c>
      <c r="B24" s="75">
        <f t="shared" si="13"/>
        <v>19</v>
      </c>
      <c r="C24" s="75" t="s">
        <v>135</v>
      </c>
      <c r="D24" s="97" t="s">
        <v>50</v>
      </c>
      <c r="E24" s="97" t="s">
        <v>241</v>
      </c>
      <c r="F24" s="76">
        <v>42689</v>
      </c>
      <c r="G24" s="133"/>
      <c r="H24" s="133"/>
      <c r="I24" s="75">
        <v>21</v>
      </c>
      <c r="J24" s="68">
        <f t="shared" si="0"/>
        <v>3750.0000000000005</v>
      </c>
      <c r="K24" s="68">
        <f t="shared" si="1"/>
        <v>0</v>
      </c>
      <c r="L24" s="68">
        <f t="shared" si="2"/>
        <v>187.50000000000003</v>
      </c>
      <c r="M24" s="68"/>
      <c r="N24" s="68">
        <f t="shared" si="15"/>
        <v>600</v>
      </c>
      <c r="O24" s="68"/>
      <c r="P24" s="68">
        <f>((9014+1445)/I$3)*I24</f>
        <v>7844.25</v>
      </c>
      <c r="Q24" s="68"/>
      <c r="R24" s="68">
        <v>0</v>
      </c>
      <c r="S24" s="68">
        <v>0</v>
      </c>
      <c r="T24" s="68">
        <f t="shared" si="3"/>
        <v>12381.75</v>
      </c>
      <c r="U24" s="69">
        <f t="shared" si="4"/>
        <v>450.00000000000006</v>
      </c>
      <c r="V24" s="69">
        <f t="shared" si="14"/>
        <v>217</v>
      </c>
      <c r="W24" s="68">
        <v>0</v>
      </c>
      <c r="X24" s="68">
        <v>0</v>
      </c>
      <c r="Y24" s="68">
        <f t="shared" ref="Y24:Y27" si="25">SUM(U24:X24)</f>
        <v>667</v>
      </c>
      <c r="Z24" s="101">
        <f t="shared" si="6"/>
        <v>11714.75</v>
      </c>
      <c r="AA24" s="68">
        <v>0</v>
      </c>
      <c r="AB24" s="101">
        <f t="shared" si="7"/>
        <v>11714.75</v>
      </c>
      <c r="AC24" s="69">
        <f t="shared" si="8"/>
        <v>493.12500000000006</v>
      </c>
      <c r="AD24" s="69">
        <f t="shared" si="9"/>
        <v>589</v>
      </c>
      <c r="AE24" s="70">
        <f t="shared" si="10"/>
        <v>0</v>
      </c>
      <c r="AF24" s="71">
        <f t="shared" ref="AF24:AF27" si="26">SUM(AC24:AE24)</f>
        <v>1082.125</v>
      </c>
      <c r="AG24" s="71">
        <f t="shared" si="12"/>
        <v>13463.875</v>
      </c>
    </row>
    <row r="25" spans="1:33" x14ac:dyDescent="0.2">
      <c r="A25" s="74" t="s">
        <v>160</v>
      </c>
      <c r="B25" s="75">
        <f t="shared" si="13"/>
        <v>20</v>
      </c>
      <c r="C25" s="75" t="s">
        <v>198</v>
      </c>
      <c r="D25" s="97" t="s">
        <v>50</v>
      </c>
      <c r="E25" s="97" t="s">
        <v>240</v>
      </c>
      <c r="F25" s="76">
        <v>42675</v>
      </c>
      <c r="G25" s="133"/>
      <c r="H25" s="133"/>
      <c r="I25" s="75">
        <v>29</v>
      </c>
      <c r="J25" s="68">
        <f t="shared" si="0"/>
        <v>5178.5714285714294</v>
      </c>
      <c r="K25" s="68">
        <f t="shared" si="1"/>
        <v>0</v>
      </c>
      <c r="L25" s="68">
        <f t="shared" si="2"/>
        <v>258.9285714285715</v>
      </c>
      <c r="M25" s="68"/>
      <c r="N25" s="68">
        <f t="shared" si="15"/>
        <v>828.57142857142867</v>
      </c>
      <c r="O25" s="68"/>
      <c r="P25" s="68">
        <f>((6979+814+1323)/I$3)*I25</f>
        <v>9441.5714285714275</v>
      </c>
      <c r="Q25" s="68"/>
      <c r="R25" s="68">
        <v>0</v>
      </c>
      <c r="S25" s="68">
        <v>0</v>
      </c>
      <c r="T25" s="68">
        <f t="shared" si="3"/>
        <v>15707.642857142857</v>
      </c>
      <c r="U25" s="69">
        <f t="shared" si="4"/>
        <v>621.42857142857144</v>
      </c>
      <c r="V25" s="69">
        <f t="shared" si="14"/>
        <v>275</v>
      </c>
      <c r="W25" s="68">
        <v>0</v>
      </c>
      <c r="X25" s="68">
        <v>0</v>
      </c>
      <c r="Y25" s="68">
        <f t="shared" si="25"/>
        <v>896.42857142857144</v>
      </c>
      <c r="Z25" s="101">
        <f t="shared" si="6"/>
        <v>14811.214285714286</v>
      </c>
      <c r="AA25" s="68">
        <v>0</v>
      </c>
      <c r="AB25" s="68">
        <f t="shared" si="7"/>
        <v>14811.214285714286</v>
      </c>
      <c r="AC25" s="69">
        <f t="shared" si="8"/>
        <v>680.982142857143</v>
      </c>
      <c r="AD25" s="69">
        <f t="shared" si="9"/>
        <v>747</v>
      </c>
      <c r="AE25" s="70">
        <f t="shared" si="10"/>
        <v>0</v>
      </c>
      <c r="AF25" s="71">
        <f t="shared" si="26"/>
        <v>1427.9821428571431</v>
      </c>
      <c r="AG25" s="71">
        <f t="shared" si="12"/>
        <v>17135.625</v>
      </c>
    </row>
    <row r="26" spans="1:33" x14ac:dyDescent="0.2">
      <c r="A26" s="74" t="s">
        <v>161</v>
      </c>
      <c r="B26" s="75">
        <f t="shared" si="13"/>
        <v>21</v>
      </c>
      <c r="C26" s="75" t="s">
        <v>203</v>
      </c>
      <c r="D26" s="97" t="s">
        <v>50</v>
      </c>
      <c r="E26" s="97" t="s">
        <v>241</v>
      </c>
      <c r="F26" s="76">
        <v>42688</v>
      </c>
      <c r="G26" s="133"/>
      <c r="H26" s="133"/>
      <c r="I26" s="75">
        <v>31</v>
      </c>
      <c r="J26" s="68">
        <f t="shared" si="0"/>
        <v>5535.7142857142862</v>
      </c>
      <c r="K26" s="68">
        <f t="shared" si="1"/>
        <v>0</v>
      </c>
      <c r="L26" s="68">
        <f t="shared" si="2"/>
        <v>276.78571428571433</v>
      </c>
      <c r="M26" s="68"/>
      <c r="N26" s="68">
        <f t="shared" si="15"/>
        <v>885.71428571428578</v>
      </c>
      <c r="O26" s="68"/>
      <c r="P26" s="68">
        <f>((1950+1441+839+1161)/I$3)*I26</f>
        <v>5968.6071428571422</v>
      </c>
      <c r="Q26" s="68"/>
      <c r="R26" s="68">
        <v>0</v>
      </c>
      <c r="S26" s="68">
        <v>0</v>
      </c>
      <c r="T26" s="68">
        <f t="shared" si="3"/>
        <v>12666.821428571428</v>
      </c>
      <c r="U26" s="69">
        <f t="shared" si="4"/>
        <v>664.28571428571433</v>
      </c>
      <c r="V26" s="69">
        <f t="shared" si="14"/>
        <v>222</v>
      </c>
      <c r="W26" s="68">
        <v>0</v>
      </c>
      <c r="X26" s="68">
        <v>0</v>
      </c>
      <c r="Y26" s="68">
        <f t="shared" si="25"/>
        <v>886.28571428571433</v>
      </c>
      <c r="Z26" s="101">
        <f t="shared" si="6"/>
        <v>11780.535714285714</v>
      </c>
      <c r="AA26" s="68">
        <v>0</v>
      </c>
      <c r="AB26" s="68">
        <f t="shared" si="7"/>
        <v>11780.535714285714</v>
      </c>
      <c r="AC26" s="69">
        <f t="shared" si="8"/>
        <v>727.94642857142867</v>
      </c>
      <c r="AD26" s="69">
        <f t="shared" si="9"/>
        <v>602</v>
      </c>
      <c r="AE26" s="70">
        <f t="shared" si="10"/>
        <v>0</v>
      </c>
      <c r="AF26" s="71">
        <f t="shared" si="26"/>
        <v>1329.9464285714287</v>
      </c>
      <c r="AG26" s="71">
        <f t="shared" si="12"/>
        <v>13996.767857142857</v>
      </c>
    </row>
    <row r="27" spans="1:33" x14ac:dyDescent="0.2">
      <c r="A27" s="74" t="s">
        <v>163</v>
      </c>
      <c r="B27" s="75">
        <f t="shared" si="13"/>
        <v>22</v>
      </c>
      <c r="C27" s="75" t="s">
        <v>137</v>
      </c>
      <c r="D27" s="97" t="s">
        <v>50</v>
      </c>
      <c r="E27" s="97" t="s">
        <v>232</v>
      </c>
      <c r="F27" s="76">
        <v>42701</v>
      </c>
      <c r="G27" s="133"/>
      <c r="H27" s="133"/>
      <c r="I27" s="75">
        <v>28</v>
      </c>
      <c r="J27" s="68">
        <f t="shared" si="0"/>
        <v>5000</v>
      </c>
      <c r="K27" s="68">
        <f t="shared" si="1"/>
        <v>0</v>
      </c>
      <c r="L27" s="68">
        <f t="shared" si="2"/>
        <v>250</v>
      </c>
      <c r="M27" s="68"/>
      <c r="N27" s="68">
        <f t="shared" si="15"/>
        <v>800</v>
      </c>
      <c r="O27" s="68"/>
      <c r="P27" s="68">
        <f>((1950+1441+1043+814+1283)/I$3)*I27</f>
        <v>6531</v>
      </c>
      <c r="Q27" s="68"/>
      <c r="R27" s="68">
        <v>0</v>
      </c>
      <c r="S27" s="68">
        <v>0</v>
      </c>
      <c r="T27" s="68">
        <f t="shared" si="3"/>
        <v>12581</v>
      </c>
      <c r="U27" s="69">
        <f t="shared" si="4"/>
        <v>600</v>
      </c>
      <c r="V27" s="69">
        <f t="shared" si="14"/>
        <v>221</v>
      </c>
      <c r="W27" s="68">
        <v>0</v>
      </c>
      <c r="X27" s="68">
        <v>0</v>
      </c>
      <c r="Y27" s="68">
        <f t="shared" si="25"/>
        <v>821</v>
      </c>
      <c r="Z27" s="101">
        <f t="shared" si="6"/>
        <v>11760</v>
      </c>
      <c r="AA27" s="68">
        <v>0</v>
      </c>
      <c r="AB27" s="68">
        <f t="shared" si="7"/>
        <v>11760</v>
      </c>
      <c r="AC27" s="69">
        <f t="shared" si="8"/>
        <v>657.5</v>
      </c>
      <c r="AD27" s="69">
        <f t="shared" si="9"/>
        <v>598</v>
      </c>
      <c r="AE27" s="70">
        <f t="shared" si="10"/>
        <v>0</v>
      </c>
      <c r="AF27" s="71">
        <f t="shared" si="26"/>
        <v>1255.5</v>
      </c>
      <c r="AG27" s="71">
        <f t="shared" si="12"/>
        <v>13836.5</v>
      </c>
    </row>
    <row r="28" spans="1:33" x14ac:dyDescent="0.2">
      <c r="A28" s="74" t="s">
        <v>183</v>
      </c>
      <c r="B28" s="75">
        <f t="shared" si="13"/>
        <v>23</v>
      </c>
      <c r="C28" s="75" t="s">
        <v>150</v>
      </c>
      <c r="D28" s="97" t="s">
        <v>50</v>
      </c>
      <c r="E28" s="97" t="s">
        <v>234</v>
      </c>
      <c r="F28" s="76">
        <v>42705</v>
      </c>
      <c r="G28" s="133"/>
      <c r="H28" s="133"/>
      <c r="I28" s="75">
        <v>32</v>
      </c>
      <c r="J28" s="68">
        <f t="shared" si="0"/>
        <v>5714.2857142857147</v>
      </c>
      <c r="K28" s="68">
        <f t="shared" si="1"/>
        <v>0</v>
      </c>
      <c r="L28" s="68">
        <f t="shared" si="2"/>
        <v>285.71428571428572</v>
      </c>
      <c r="M28" s="68"/>
      <c r="N28" s="68">
        <f t="shared" si="15"/>
        <v>914.28571428571433</v>
      </c>
      <c r="O28" s="68"/>
      <c r="P28" s="68">
        <f>((1950+1441+1043+814+204+1633)/I$3)*I28</f>
        <v>8097.1428571428569</v>
      </c>
      <c r="Q28" s="68"/>
      <c r="R28" s="68">
        <v>0</v>
      </c>
      <c r="S28" s="68">
        <v>0</v>
      </c>
      <c r="T28" s="68">
        <f t="shared" si="3"/>
        <v>15011.428571428572</v>
      </c>
      <c r="U28" s="69">
        <f t="shared" si="4"/>
        <v>685.71428571428578</v>
      </c>
      <c r="V28" s="69">
        <f t="shared" si="14"/>
        <v>263</v>
      </c>
      <c r="W28" s="68">
        <v>0</v>
      </c>
      <c r="X28" s="68">
        <v>0</v>
      </c>
      <c r="Y28" s="68">
        <f t="shared" ref="Y28:Y35" si="27">SUM(U28:X28)</f>
        <v>948.71428571428578</v>
      </c>
      <c r="Z28" s="101">
        <f t="shared" si="6"/>
        <v>14062.714285714286</v>
      </c>
      <c r="AA28" s="68">
        <v>0</v>
      </c>
      <c r="AB28" s="68">
        <f t="shared" si="7"/>
        <v>14062.714285714286</v>
      </c>
      <c r="AC28" s="69">
        <f t="shared" si="8"/>
        <v>751.42857142857156</v>
      </c>
      <c r="AD28" s="69">
        <f t="shared" si="9"/>
        <v>714</v>
      </c>
      <c r="AE28" s="70">
        <f t="shared" si="10"/>
        <v>0</v>
      </c>
      <c r="AF28" s="71">
        <f t="shared" ref="AF28:AF35" si="28">SUM(AC28:AE28)</f>
        <v>1465.4285714285716</v>
      </c>
      <c r="AG28" s="71">
        <f t="shared" si="12"/>
        <v>16476.857142857145</v>
      </c>
    </row>
    <row r="29" spans="1:33" x14ac:dyDescent="0.2">
      <c r="A29" s="74" t="s">
        <v>184</v>
      </c>
      <c r="B29" s="75">
        <f t="shared" si="13"/>
        <v>24</v>
      </c>
      <c r="C29" s="75" t="s">
        <v>151</v>
      </c>
      <c r="D29" s="97" t="s">
        <v>50</v>
      </c>
      <c r="E29" s="97" t="s">
        <v>242</v>
      </c>
      <c r="F29" s="76">
        <v>42705</v>
      </c>
      <c r="G29" s="133"/>
      <c r="H29" s="133"/>
      <c r="I29" s="75">
        <v>30</v>
      </c>
      <c r="J29" s="68">
        <f t="shared" si="0"/>
        <v>5357.1428571428578</v>
      </c>
      <c r="K29" s="68">
        <f t="shared" si="1"/>
        <v>0</v>
      </c>
      <c r="L29" s="68">
        <f t="shared" si="2"/>
        <v>267.85714285714289</v>
      </c>
      <c r="M29" s="68"/>
      <c r="N29" s="68">
        <f t="shared" si="15"/>
        <v>857.14285714285722</v>
      </c>
      <c r="O29" s="68"/>
      <c r="P29" s="68">
        <f>((1950+1441+839+0)/I$3)*I29</f>
        <v>4532.1428571428578</v>
      </c>
      <c r="Q29" s="68"/>
      <c r="R29" s="68">
        <v>0</v>
      </c>
      <c r="S29" s="68">
        <v>0</v>
      </c>
      <c r="T29" s="68">
        <f t="shared" si="3"/>
        <v>11014.285714285716</v>
      </c>
      <c r="U29" s="69">
        <f t="shared" si="4"/>
        <v>642.85714285714289</v>
      </c>
      <c r="V29" s="69">
        <f t="shared" si="14"/>
        <v>193</v>
      </c>
      <c r="W29" s="68">
        <v>0</v>
      </c>
      <c r="X29" s="68">
        <v>0</v>
      </c>
      <c r="Y29" s="68">
        <f t="shared" si="27"/>
        <v>835.85714285714289</v>
      </c>
      <c r="Z29" s="68">
        <f t="shared" si="6"/>
        <v>10178.428571428572</v>
      </c>
      <c r="AA29" s="68">
        <v>0</v>
      </c>
      <c r="AB29" s="68">
        <f t="shared" si="7"/>
        <v>10178.428571428572</v>
      </c>
      <c r="AC29" s="69">
        <f t="shared" si="8"/>
        <v>704.46428571428578</v>
      </c>
      <c r="AD29" s="69">
        <f t="shared" si="9"/>
        <v>524</v>
      </c>
      <c r="AE29" s="70">
        <f t="shared" si="10"/>
        <v>0</v>
      </c>
      <c r="AF29" s="71">
        <f t="shared" si="28"/>
        <v>1228.4642857142858</v>
      </c>
      <c r="AG29" s="71">
        <f t="shared" si="12"/>
        <v>12242.750000000002</v>
      </c>
    </row>
    <row r="30" spans="1:33" x14ac:dyDescent="0.2">
      <c r="A30" s="74" t="s">
        <v>185</v>
      </c>
      <c r="B30" s="75">
        <f t="shared" si="13"/>
        <v>25</v>
      </c>
      <c r="C30" s="75" t="s">
        <v>152</v>
      </c>
      <c r="D30" s="97" t="s">
        <v>50</v>
      </c>
      <c r="E30" s="97" t="s">
        <v>234</v>
      </c>
      <c r="F30" s="76">
        <v>42705</v>
      </c>
      <c r="G30" s="133"/>
      <c r="H30" s="133"/>
      <c r="I30" s="75">
        <v>28</v>
      </c>
      <c r="J30" s="68">
        <f t="shared" si="0"/>
        <v>5000</v>
      </c>
      <c r="K30" s="68">
        <f t="shared" si="1"/>
        <v>0</v>
      </c>
      <c r="L30" s="68">
        <f t="shared" si="2"/>
        <v>250</v>
      </c>
      <c r="M30" s="68"/>
      <c r="N30" s="68">
        <f t="shared" si="15"/>
        <v>800</v>
      </c>
      <c r="O30" s="68"/>
      <c r="P30" s="68">
        <f>((1950+1441+1043+814+1069)/I$3)*I30</f>
        <v>6317</v>
      </c>
      <c r="Q30" s="68"/>
      <c r="R30" s="68">
        <v>0</v>
      </c>
      <c r="S30" s="68">
        <v>0</v>
      </c>
      <c r="T30" s="68">
        <f t="shared" si="3"/>
        <v>12367</v>
      </c>
      <c r="U30" s="69">
        <f t="shared" si="4"/>
        <v>600</v>
      </c>
      <c r="V30" s="69">
        <f t="shared" si="14"/>
        <v>217</v>
      </c>
      <c r="W30" s="68">
        <v>0</v>
      </c>
      <c r="X30" s="68">
        <v>0</v>
      </c>
      <c r="Y30" s="68">
        <f t="shared" si="27"/>
        <v>817</v>
      </c>
      <c r="Z30" s="101">
        <f t="shared" si="6"/>
        <v>11550</v>
      </c>
      <c r="AA30" s="68">
        <v>0</v>
      </c>
      <c r="AB30" s="68">
        <f t="shared" si="7"/>
        <v>11550</v>
      </c>
      <c r="AC30" s="69">
        <f t="shared" si="8"/>
        <v>657.5</v>
      </c>
      <c r="AD30" s="69">
        <f t="shared" si="9"/>
        <v>588</v>
      </c>
      <c r="AE30" s="70">
        <f t="shared" si="10"/>
        <v>0</v>
      </c>
      <c r="AF30" s="71">
        <f t="shared" si="28"/>
        <v>1245.5</v>
      </c>
      <c r="AG30" s="71">
        <f t="shared" si="12"/>
        <v>13612.5</v>
      </c>
    </row>
    <row r="31" spans="1:33" x14ac:dyDescent="0.2">
      <c r="A31" s="74" t="s">
        <v>186</v>
      </c>
      <c r="B31" s="75">
        <f t="shared" si="13"/>
        <v>26</v>
      </c>
      <c r="C31" s="75" t="s">
        <v>174</v>
      </c>
      <c r="D31" s="97" t="s">
        <v>50</v>
      </c>
      <c r="E31" s="97" t="s">
        <v>238</v>
      </c>
      <c r="F31" s="76">
        <v>42705</v>
      </c>
      <c r="G31" s="133"/>
      <c r="H31" s="133"/>
      <c r="I31" s="75">
        <v>31</v>
      </c>
      <c r="J31" s="68">
        <f t="shared" si="0"/>
        <v>5535.7142857142862</v>
      </c>
      <c r="K31" s="68">
        <f t="shared" si="1"/>
        <v>0</v>
      </c>
      <c r="L31" s="68">
        <f t="shared" si="2"/>
        <v>276.78571428571433</v>
      </c>
      <c r="M31" s="68"/>
      <c r="N31" s="68">
        <f t="shared" si="15"/>
        <v>885.71428571428578</v>
      </c>
      <c r="O31" s="68"/>
      <c r="P31" s="68">
        <f>((1950+1441+1043+814+0)/I$3)*I31</f>
        <v>5810.2857142857138</v>
      </c>
      <c r="Q31" s="68"/>
      <c r="R31" s="68">
        <v>0</v>
      </c>
      <c r="S31" s="68">
        <v>0</v>
      </c>
      <c r="T31" s="68">
        <f t="shared" si="3"/>
        <v>12508.5</v>
      </c>
      <c r="U31" s="69">
        <f t="shared" si="4"/>
        <v>664.28571428571433</v>
      </c>
      <c r="V31" s="69">
        <f t="shared" si="14"/>
        <v>219</v>
      </c>
      <c r="W31" s="68">
        <v>0</v>
      </c>
      <c r="X31" s="68">
        <v>0</v>
      </c>
      <c r="Y31" s="68">
        <f t="shared" si="27"/>
        <v>883.28571428571433</v>
      </c>
      <c r="Z31" s="68">
        <f t="shared" si="6"/>
        <v>11625.214285714286</v>
      </c>
      <c r="AA31" s="68">
        <v>0</v>
      </c>
      <c r="AB31" s="68">
        <f t="shared" si="7"/>
        <v>11625.214285714286</v>
      </c>
      <c r="AC31" s="69">
        <f t="shared" si="8"/>
        <v>727.94642857142867</v>
      </c>
      <c r="AD31" s="69">
        <f t="shared" si="9"/>
        <v>595</v>
      </c>
      <c r="AE31" s="70">
        <f t="shared" si="10"/>
        <v>0</v>
      </c>
      <c r="AF31" s="71">
        <f t="shared" si="28"/>
        <v>1322.9464285714287</v>
      </c>
      <c r="AG31" s="71">
        <f t="shared" si="12"/>
        <v>13831.446428571429</v>
      </c>
    </row>
    <row r="32" spans="1:33" x14ac:dyDescent="0.2">
      <c r="A32" s="74" t="s">
        <v>187</v>
      </c>
      <c r="B32" s="75">
        <f t="shared" si="13"/>
        <v>27</v>
      </c>
      <c r="C32" s="75" t="s">
        <v>430</v>
      </c>
      <c r="D32" s="97" t="s">
        <v>50</v>
      </c>
      <c r="E32" s="97" t="s">
        <v>234</v>
      </c>
      <c r="F32" s="76">
        <v>42705</v>
      </c>
      <c r="G32" s="133"/>
      <c r="H32" s="133"/>
      <c r="I32" s="75">
        <v>31</v>
      </c>
      <c r="J32" s="68">
        <f t="shared" si="0"/>
        <v>5535.7142857142862</v>
      </c>
      <c r="K32" s="68">
        <f t="shared" si="1"/>
        <v>0</v>
      </c>
      <c r="L32" s="68">
        <f t="shared" si="2"/>
        <v>276.78571428571433</v>
      </c>
      <c r="M32" s="68"/>
      <c r="N32" s="68">
        <f t="shared" si="15"/>
        <v>885.71428571428578</v>
      </c>
      <c r="O32" s="68"/>
      <c r="P32" s="68">
        <f>((1950+1441+1043+2417)/I$3)*I32</f>
        <v>7585.0357142857138</v>
      </c>
      <c r="Q32" s="68"/>
      <c r="R32" s="68">
        <v>0</v>
      </c>
      <c r="S32" s="68">
        <v>0</v>
      </c>
      <c r="T32" s="68">
        <f t="shared" si="3"/>
        <v>14283.25</v>
      </c>
      <c r="U32" s="69">
        <f t="shared" si="4"/>
        <v>664.28571428571433</v>
      </c>
      <c r="V32" s="69">
        <f t="shared" si="14"/>
        <v>250</v>
      </c>
      <c r="W32" s="68">
        <v>0</v>
      </c>
      <c r="X32" s="68">
        <v>0</v>
      </c>
      <c r="Y32" s="68">
        <f t="shared" si="27"/>
        <v>914.28571428571433</v>
      </c>
      <c r="Z32" s="68">
        <f t="shared" si="6"/>
        <v>13368.964285714286</v>
      </c>
      <c r="AA32" s="68">
        <v>0</v>
      </c>
      <c r="AB32" s="68">
        <f t="shared" si="7"/>
        <v>13368.964285714286</v>
      </c>
      <c r="AC32" s="69">
        <f t="shared" si="8"/>
        <v>727.94642857142867</v>
      </c>
      <c r="AD32" s="69">
        <f t="shared" si="9"/>
        <v>679</v>
      </c>
      <c r="AE32" s="70">
        <f t="shared" si="10"/>
        <v>0</v>
      </c>
      <c r="AF32" s="71">
        <f t="shared" si="28"/>
        <v>1406.9464285714287</v>
      </c>
      <c r="AG32" s="71">
        <f t="shared" si="12"/>
        <v>15690.196428571429</v>
      </c>
    </row>
    <row r="33" spans="1:33" x14ac:dyDescent="0.2">
      <c r="A33" s="74" t="s">
        <v>188</v>
      </c>
      <c r="B33" s="75">
        <f t="shared" si="13"/>
        <v>28</v>
      </c>
      <c r="C33" s="75" t="s">
        <v>153</v>
      </c>
      <c r="D33" s="97" t="s">
        <v>50</v>
      </c>
      <c r="E33" s="97" t="s">
        <v>232</v>
      </c>
      <c r="F33" s="76">
        <v>42705</v>
      </c>
      <c r="G33" s="133"/>
      <c r="H33" s="133"/>
      <c r="I33" s="75">
        <v>29</v>
      </c>
      <c r="J33" s="68">
        <f t="shared" si="0"/>
        <v>5178.5714285714294</v>
      </c>
      <c r="K33" s="68">
        <f t="shared" si="1"/>
        <v>0</v>
      </c>
      <c r="L33" s="68">
        <f t="shared" si="2"/>
        <v>258.9285714285715</v>
      </c>
      <c r="M33" s="68"/>
      <c r="N33" s="68">
        <f t="shared" si="15"/>
        <v>828.57142857142867</v>
      </c>
      <c r="O33" s="68"/>
      <c r="P33" s="68">
        <f>((1950+1441+1043+814+1283)/I$3)*I33</f>
        <v>6764.25</v>
      </c>
      <c r="Q33" s="68"/>
      <c r="R33" s="68">
        <v>0</v>
      </c>
      <c r="S33" s="68">
        <v>0</v>
      </c>
      <c r="T33" s="68">
        <f t="shared" si="3"/>
        <v>13030.321428571429</v>
      </c>
      <c r="U33" s="69">
        <f t="shared" si="4"/>
        <v>621.42857142857144</v>
      </c>
      <c r="V33" s="69">
        <f t="shared" si="14"/>
        <v>229</v>
      </c>
      <c r="W33" s="68">
        <v>0</v>
      </c>
      <c r="X33" s="68">
        <v>0</v>
      </c>
      <c r="Y33" s="68">
        <f t="shared" si="27"/>
        <v>850.42857142857144</v>
      </c>
      <c r="Z33" s="101">
        <f t="shared" si="6"/>
        <v>12179.892857142859</v>
      </c>
      <c r="AA33" s="68">
        <v>0</v>
      </c>
      <c r="AB33" s="68">
        <f t="shared" si="7"/>
        <v>12179.892857142859</v>
      </c>
      <c r="AC33" s="69">
        <f t="shared" si="8"/>
        <v>680.982142857143</v>
      </c>
      <c r="AD33" s="69">
        <f t="shared" si="9"/>
        <v>619</v>
      </c>
      <c r="AE33" s="70">
        <f t="shared" si="10"/>
        <v>0</v>
      </c>
      <c r="AF33" s="71">
        <f t="shared" si="28"/>
        <v>1299.9821428571431</v>
      </c>
      <c r="AG33" s="71">
        <f t="shared" si="12"/>
        <v>14330.303571428572</v>
      </c>
    </row>
    <row r="34" spans="1:33" x14ac:dyDescent="0.2">
      <c r="A34" s="74" t="s">
        <v>189</v>
      </c>
      <c r="B34" s="75">
        <f t="shared" si="13"/>
        <v>29</v>
      </c>
      <c r="C34" s="75" t="s">
        <v>488</v>
      </c>
      <c r="D34" s="97" t="s">
        <v>50</v>
      </c>
      <c r="E34" s="97" t="s">
        <v>237</v>
      </c>
      <c r="F34" s="76">
        <v>42705</v>
      </c>
      <c r="G34" s="133"/>
      <c r="H34" s="133"/>
      <c r="I34" s="75">
        <v>28</v>
      </c>
      <c r="J34" s="68">
        <f t="shared" si="0"/>
        <v>5000</v>
      </c>
      <c r="K34" s="68">
        <f t="shared" si="1"/>
        <v>0</v>
      </c>
      <c r="L34" s="68">
        <f t="shared" si="2"/>
        <v>250</v>
      </c>
      <c r="M34" s="68"/>
      <c r="N34" s="68">
        <f t="shared" si="15"/>
        <v>800</v>
      </c>
      <c r="O34" s="68"/>
      <c r="P34" s="68">
        <f>((1950+1441+2061+1323+0)/I$3)*I34</f>
        <v>6775</v>
      </c>
      <c r="Q34" s="68"/>
      <c r="R34" s="68">
        <v>0</v>
      </c>
      <c r="S34" s="68">
        <v>0</v>
      </c>
      <c r="T34" s="68">
        <f t="shared" si="3"/>
        <v>12825</v>
      </c>
      <c r="U34" s="69">
        <f t="shared" si="4"/>
        <v>600</v>
      </c>
      <c r="V34" s="69">
        <f t="shared" si="14"/>
        <v>225</v>
      </c>
      <c r="W34" s="68">
        <v>0</v>
      </c>
      <c r="X34" s="68">
        <v>0</v>
      </c>
      <c r="Y34" s="68">
        <f t="shared" si="27"/>
        <v>825</v>
      </c>
      <c r="Z34" s="68">
        <f t="shared" si="6"/>
        <v>12000</v>
      </c>
      <c r="AA34" s="68">
        <v>0</v>
      </c>
      <c r="AB34" s="68">
        <f t="shared" si="7"/>
        <v>12000</v>
      </c>
      <c r="AC34" s="69">
        <f t="shared" si="8"/>
        <v>657.5</v>
      </c>
      <c r="AD34" s="69">
        <f t="shared" si="9"/>
        <v>610</v>
      </c>
      <c r="AE34" s="70">
        <f t="shared" si="10"/>
        <v>0</v>
      </c>
      <c r="AF34" s="71">
        <f t="shared" si="28"/>
        <v>1267.5</v>
      </c>
      <c r="AG34" s="71">
        <f t="shared" si="12"/>
        <v>14092.5</v>
      </c>
    </row>
    <row r="35" spans="1:33" x14ac:dyDescent="0.2">
      <c r="A35" s="74" t="s">
        <v>190</v>
      </c>
      <c r="B35" s="75">
        <f t="shared" si="13"/>
        <v>30</v>
      </c>
      <c r="C35" s="75" t="s">
        <v>154</v>
      </c>
      <c r="D35" s="97" t="s">
        <v>50</v>
      </c>
      <c r="E35" s="97" t="s">
        <v>484</v>
      </c>
      <c r="F35" s="76">
        <v>42705</v>
      </c>
      <c r="G35" s="133"/>
      <c r="H35" s="133"/>
      <c r="I35" s="75">
        <v>27</v>
      </c>
      <c r="J35" s="68">
        <f t="shared" si="0"/>
        <v>4821.4285714285716</v>
      </c>
      <c r="K35" s="68">
        <f t="shared" si="1"/>
        <v>0</v>
      </c>
      <c r="L35" s="68">
        <f t="shared" si="2"/>
        <v>241.07142857142858</v>
      </c>
      <c r="M35" s="68"/>
      <c r="N35" s="68">
        <f t="shared" si="15"/>
        <v>771.42857142857144</v>
      </c>
      <c r="O35" s="68"/>
      <c r="P35" s="68">
        <f>((1950+1441+839+0)/I$3)*I35</f>
        <v>4078.9285714285716</v>
      </c>
      <c r="Q35" s="68"/>
      <c r="R35" s="68">
        <v>0</v>
      </c>
      <c r="S35" s="68">
        <v>0</v>
      </c>
      <c r="T35" s="68">
        <f t="shared" si="3"/>
        <v>9912.8571428571431</v>
      </c>
      <c r="U35" s="69">
        <f t="shared" si="4"/>
        <v>578.57142857142856</v>
      </c>
      <c r="V35" s="69">
        <f t="shared" si="14"/>
        <v>174</v>
      </c>
      <c r="W35" s="68">
        <v>0</v>
      </c>
      <c r="X35" s="68">
        <v>0</v>
      </c>
      <c r="Y35" s="68">
        <f t="shared" si="27"/>
        <v>752.57142857142856</v>
      </c>
      <c r="Z35" s="68">
        <f t="shared" si="6"/>
        <v>9160.2857142857138</v>
      </c>
      <c r="AA35" s="68">
        <v>0</v>
      </c>
      <c r="AB35" s="68">
        <f t="shared" si="7"/>
        <v>9160.2857142857138</v>
      </c>
      <c r="AC35" s="69">
        <f t="shared" si="8"/>
        <v>634.01785714285722</v>
      </c>
      <c r="AD35" s="69">
        <f t="shared" si="9"/>
        <v>471</v>
      </c>
      <c r="AE35" s="70">
        <f t="shared" si="10"/>
        <v>0</v>
      </c>
      <c r="AF35" s="71">
        <f t="shared" si="28"/>
        <v>1105.0178571428573</v>
      </c>
      <c r="AG35" s="71">
        <f t="shared" si="12"/>
        <v>11017.875</v>
      </c>
    </row>
    <row r="36" spans="1:33" x14ac:dyDescent="0.2">
      <c r="A36" s="74" t="s">
        <v>229</v>
      </c>
      <c r="B36" s="75" t="e">
        <f>#REF!+1</f>
        <v>#REF!</v>
      </c>
      <c r="C36" s="75" t="s">
        <v>199</v>
      </c>
      <c r="D36" s="97" t="s">
        <v>50</v>
      </c>
      <c r="E36" s="97" t="s">
        <v>240</v>
      </c>
      <c r="F36" s="76">
        <v>42736</v>
      </c>
      <c r="G36" s="133"/>
      <c r="H36" s="133"/>
      <c r="I36" s="75">
        <v>29</v>
      </c>
      <c r="J36" s="68">
        <f t="shared" si="0"/>
        <v>5178.5714285714294</v>
      </c>
      <c r="K36" s="68">
        <f t="shared" si="1"/>
        <v>0</v>
      </c>
      <c r="L36" s="68">
        <f t="shared" si="2"/>
        <v>258.9285714285715</v>
      </c>
      <c r="M36" s="68"/>
      <c r="N36" s="68">
        <f t="shared" si="15"/>
        <v>828.57142857142867</v>
      </c>
      <c r="O36" s="68"/>
      <c r="P36" s="68">
        <f>((6979+814+0)/I$3)*I36</f>
        <v>8071.3214285714284</v>
      </c>
      <c r="Q36" s="68"/>
      <c r="R36" s="68">
        <v>0</v>
      </c>
      <c r="S36" s="68">
        <v>0</v>
      </c>
      <c r="T36" s="68">
        <f t="shared" si="3"/>
        <v>14337.392857142859</v>
      </c>
      <c r="U36" s="69">
        <f t="shared" si="4"/>
        <v>621.42857142857144</v>
      </c>
      <c r="V36" s="69">
        <f t="shared" si="14"/>
        <v>251</v>
      </c>
      <c r="W36" s="68">
        <v>0</v>
      </c>
      <c r="X36" s="68">
        <v>0</v>
      </c>
      <c r="Y36" s="68">
        <f t="shared" ref="Y36:Y50" si="29">SUM(U36:X36)</f>
        <v>872.42857142857144</v>
      </c>
      <c r="Z36" s="68">
        <f t="shared" si="6"/>
        <v>13464.964285714288</v>
      </c>
      <c r="AA36" s="68">
        <v>0</v>
      </c>
      <c r="AB36" s="68">
        <f t="shared" si="7"/>
        <v>13464.964285714288</v>
      </c>
      <c r="AC36" s="69">
        <f t="shared" si="8"/>
        <v>680.982142857143</v>
      </c>
      <c r="AD36" s="69">
        <f t="shared" si="9"/>
        <v>682</v>
      </c>
      <c r="AE36" s="70">
        <f t="shared" si="10"/>
        <v>0</v>
      </c>
      <c r="AF36" s="71">
        <f t="shared" ref="AF36:AF50" si="30">SUM(AC36:AE36)</f>
        <v>1362.9821428571431</v>
      </c>
      <c r="AG36" s="71">
        <f t="shared" si="12"/>
        <v>15700.375000000002</v>
      </c>
    </row>
    <row r="37" spans="1:33" x14ac:dyDescent="0.2">
      <c r="A37" s="74" t="s">
        <v>82</v>
      </c>
      <c r="B37" s="75" t="e">
        <f t="shared" si="13"/>
        <v>#REF!</v>
      </c>
      <c r="C37" s="75" t="s">
        <v>34</v>
      </c>
      <c r="D37" s="97" t="s">
        <v>50</v>
      </c>
      <c r="E37" s="97" t="s">
        <v>1452</v>
      </c>
      <c r="F37" s="76">
        <v>42767</v>
      </c>
      <c r="G37" s="133"/>
      <c r="H37" s="133"/>
      <c r="I37" s="75">
        <v>24</v>
      </c>
      <c r="J37" s="68">
        <f t="shared" si="0"/>
        <v>4285.7142857142862</v>
      </c>
      <c r="K37" s="68">
        <f t="shared" si="1"/>
        <v>0</v>
      </c>
      <c r="L37" s="68">
        <f t="shared" si="2"/>
        <v>214.28571428571433</v>
      </c>
      <c r="M37" s="68"/>
      <c r="N37" s="68">
        <f t="shared" si="15"/>
        <v>685.71428571428578</v>
      </c>
      <c r="O37" s="68"/>
      <c r="P37" s="68">
        <f>((1950+1441+3588+3328)/I$3)*I37</f>
        <v>8834.5714285714275</v>
      </c>
      <c r="Q37" s="68"/>
      <c r="R37" s="68">
        <v>0</v>
      </c>
      <c r="S37" s="68">
        <v>0</v>
      </c>
      <c r="T37" s="68">
        <f t="shared" si="3"/>
        <v>14020.285714285714</v>
      </c>
      <c r="U37" s="69">
        <f t="shared" si="4"/>
        <v>514.28571428571433</v>
      </c>
      <c r="V37" s="69">
        <f t="shared" si="14"/>
        <v>246</v>
      </c>
      <c r="W37" s="68">
        <v>0</v>
      </c>
      <c r="X37" s="68">
        <v>0</v>
      </c>
      <c r="Y37" s="68">
        <f t="shared" si="29"/>
        <v>760.28571428571433</v>
      </c>
      <c r="Z37" s="68">
        <f t="shared" si="6"/>
        <v>13260</v>
      </c>
      <c r="AA37" s="68">
        <v>0</v>
      </c>
      <c r="AB37" s="68">
        <f t="shared" si="7"/>
        <v>13260</v>
      </c>
      <c r="AC37" s="69">
        <f t="shared" si="8"/>
        <v>563.57142857142867</v>
      </c>
      <c r="AD37" s="69">
        <f t="shared" si="9"/>
        <v>666</v>
      </c>
      <c r="AE37" s="70">
        <f t="shared" si="10"/>
        <v>0</v>
      </c>
      <c r="AF37" s="71">
        <f t="shared" si="30"/>
        <v>1229.5714285714287</v>
      </c>
      <c r="AG37" s="71">
        <f t="shared" si="12"/>
        <v>15249.857142857143</v>
      </c>
    </row>
    <row r="38" spans="1:33" x14ac:dyDescent="0.2">
      <c r="A38" s="74" t="s">
        <v>267</v>
      </c>
      <c r="B38" s="75" t="e">
        <f t="shared" si="13"/>
        <v>#REF!</v>
      </c>
      <c r="C38" s="75" t="s">
        <v>204</v>
      </c>
      <c r="D38" s="97" t="s">
        <v>50</v>
      </c>
      <c r="E38" s="97" t="s">
        <v>240</v>
      </c>
      <c r="F38" s="76">
        <v>42767</v>
      </c>
      <c r="G38" s="133"/>
      <c r="H38" s="133"/>
      <c r="I38" s="75">
        <v>14</v>
      </c>
      <c r="J38" s="68">
        <f t="shared" si="0"/>
        <v>2500</v>
      </c>
      <c r="K38" s="68">
        <f t="shared" si="1"/>
        <v>0</v>
      </c>
      <c r="L38" s="68">
        <f t="shared" si="2"/>
        <v>125</v>
      </c>
      <c r="M38" s="68"/>
      <c r="N38" s="68">
        <f t="shared" si="15"/>
        <v>400</v>
      </c>
      <c r="O38" s="68"/>
      <c r="P38" s="68">
        <f>((1950+1441+839+0)/I$3)*I38</f>
        <v>2115</v>
      </c>
      <c r="Q38" s="68"/>
      <c r="R38" s="68">
        <v>0</v>
      </c>
      <c r="S38" s="68">
        <v>0</v>
      </c>
      <c r="T38" s="68">
        <f t="shared" ref="T38:T69" si="31">SUM(J38:S38)</f>
        <v>5140</v>
      </c>
      <c r="U38" s="69">
        <f t="shared" si="4"/>
        <v>300</v>
      </c>
      <c r="V38" s="69">
        <f t="shared" si="14"/>
        <v>90</v>
      </c>
      <c r="W38" s="68">
        <v>0</v>
      </c>
      <c r="X38" s="68">
        <v>0</v>
      </c>
      <c r="Y38" s="68">
        <f t="shared" si="29"/>
        <v>390</v>
      </c>
      <c r="Z38" s="68">
        <f t="shared" si="6"/>
        <v>4750</v>
      </c>
      <c r="AA38" s="68">
        <v>0</v>
      </c>
      <c r="AB38" s="68">
        <f t="shared" si="7"/>
        <v>4750</v>
      </c>
      <c r="AC38" s="69">
        <f t="shared" si="8"/>
        <v>328.75</v>
      </c>
      <c r="AD38" s="69">
        <f t="shared" si="9"/>
        <v>245</v>
      </c>
      <c r="AE38" s="70">
        <f t="shared" si="10"/>
        <v>0</v>
      </c>
      <c r="AF38" s="71">
        <f t="shared" si="30"/>
        <v>573.75</v>
      </c>
      <c r="AG38" s="71">
        <f t="shared" si="12"/>
        <v>5713.75</v>
      </c>
    </row>
    <row r="39" spans="1:33" x14ac:dyDescent="0.2">
      <c r="A39" s="74" t="s">
        <v>268</v>
      </c>
      <c r="B39" s="75" t="e">
        <f t="shared" si="13"/>
        <v>#REF!</v>
      </c>
      <c r="C39" s="75" t="s">
        <v>205</v>
      </c>
      <c r="D39" s="97" t="s">
        <v>50</v>
      </c>
      <c r="E39" s="97" t="s">
        <v>240</v>
      </c>
      <c r="F39" s="76">
        <v>42768</v>
      </c>
      <c r="G39" s="133"/>
      <c r="H39" s="133"/>
      <c r="I39" s="75">
        <v>32</v>
      </c>
      <c r="J39" s="68">
        <f t="shared" si="0"/>
        <v>5714.2857142857147</v>
      </c>
      <c r="K39" s="68">
        <f t="shared" si="1"/>
        <v>0</v>
      </c>
      <c r="L39" s="68">
        <f t="shared" si="2"/>
        <v>285.71428571428572</v>
      </c>
      <c r="M39" s="68"/>
      <c r="N39" s="68">
        <f t="shared" si="15"/>
        <v>914.28571428571433</v>
      </c>
      <c r="O39" s="68"/>
      <c r="P39" s="68">
        <f>((1950+1441+839+0)/I$3)*I39</f>
        <v>4834.2857142857147</v>
      </c>
      <c r="Q39" s="68"/>
      <c r="R39" s="68">
        <v>0</v>
      </c>
      <c r="S39" s="68">
        <v>0</v>
      </c>
      <c r="T39" s="68">
        <f t="shared" si="31"/>
        <v>11748.571428571429</v>
      </c>
      <c r="U39" s="69">
        <f t="shared" si="4"/>
        <v>685.71428571428578</v>
      </c>
      <c r="V39" s="69">
        <f t="shared" si="14"/>
        <v>206</v>
      </c>
      <c r="W39" s="68">
        <v>0</v>
      </c>
      <c r="X39" s="68">
        <v>0</v>
      </c>
      <c r="Y39" s="68">
        <f t="shared" si="29"/>
        <v>891.71428571428578</v>
      </c>
      <c r="Z39" s="68">
        <f t="shared" si="6"/>
        <v>10856.857142857143</v>
      </c>
      <c r="AA39" s="68">
        <v>0</v>
      </c>
      <c r="AB39" s="68">
        <f t="shared" si="7"/>
        <v>10856.857142857143</v>
      </c>
      <c r="AC39" s="69">
        <f t="shared" si="8"/>
        <v>751.42857142857156</v>
      </c>
      <c r="AD39" s="69">
        <f t="shared" si="9"/>
        <v>559</v>
      </c>
      <c r="AE39" s="70">
        <f t="shared" si="10"/>
        <v>0</v>
      </c>
      <c r="AF39" s="71">
        <f t="shared" si="30"/>
        <v>1310.4285714285716</v>
      </c>
      <c r="AG39" s="71">
        <f t="shared" si="12"/>
        <v>13059</v>
      </c>
    </row>
    <row r="40" spans="1:33" x14ac:dyDescent="0.2">
      <c r="A40" s="74" t="s">
        <v>269</v>
      </c>
      <c r="B40" s="75" t="e">
        <f t="shared" si="13"/>
        <v>#REF!</v>
      </c>
      <c r="C40" s="75" t="s">
        <v>206</v>
      </c>
      <c r="D40" s="97" t="s">
        <v>50</v>
      </c>
      <c r="E40" s="97" t="s">
        <v>238</v>
      </c>
      <c r="F40" s="76">
        <v>42769</v>
      </c>
      <c r="G40" s="133"/>
      <c r="H40" s="133"/>
      <c r="I40" s="75">
        <v>30</v>
      </c>
      <c r="J40" s="68">
        <f t="shared" si="0"/>
        <v>5357.1428571428578</v>
      </c>
      <c r="K40" s="68">
        <f t="shared" si="1"/>
        <v>0</v>
      </c>
      <c r="L40" s="68">
        <f t="shared" si="2"/>
        <v>267.85714285714289</v>
      </c>
      <c r="M40" s="68"/>
      <c r="N40" s="68">
        <f t="shared" si="15"/>
        <v>857.14285714285722</v>
      </c>
      <c r="O40" s="68"/>
      <c r="P40" s="68">
        <f>((1950+1441+1043+814+0)/I$3)*I40</f>
        <v>5622.8571428571422</v>
      </c>
      <c r="Q40" s="68"/>
      <c r="R40" s="68">
        <v>0</v>
      </c>
      <c r="S40" s="68">
        <v>0</v>
      </c>
      <c r="T40" s="68">
        <f t="shared" si="31"/>
        <v>12105</v>
      </c>
      <c r="U40" s="69">
        <f t="shared" si="4"/>
        <v>642.85714285714289</v>
      </c>
      <c r="V40" s="69">
        <f t="shared" si="14"/>
        <v>212</v>
      </c>
      <c r="W40" s="68">
        <v>0</v>
      </c>
      <c r="X40" s="68">
        <v>0</v>
      </c>
      <c r="Y40" s="68">
        <f t="shared" si="29"/>
        <v>854.85714285714289</v>
      </c>
      <c r="Z40" s="68">
        <f t="shared" si="6"/>
        <v>11250.142857142857</v>
      </c>
      <c r="AA40" s="68">
        <v>0</v>
      </c>
      <c r="AB40" s="68">
        <f t="shared" si="7"/>
        <v>11250.142857142857</v>
      </c>
      <c r="AC40" s="69">
        <f t="shared" si="8"/>
        <v>704.46428571428578</v>
      </c>
      <c r="AD40" s="69">
        <f t="shared" si="9"/>
        <v>575</v>
      </c>
      <c r="AE40" s="70">
        <f t="shared" si="10"/>
        <v>0</v>
      </c>
      <c r="AF40" s="71">
        <f t="shared" si="30"/>
        <v>1279.4642857142858</v>
      </c>
      <c r="AG40" s="71">
        <f t="shared" si="12"/>
        <v>13384.464285714286</v>
      </c>
    </row>
    <row r="41" spans="1:33" x14ac:dyDescent="0.2">
      <c r="A41" s="74" t="s">
        <v>270</v>
      </c>
      <c r="B41" s="75" t="e">
        <f t="shared" si="13"/>
        <v>#REF!</v>
      </c>
      <c r="C41" s="75" t="s">
        <v>207</v>
      </c>
      <c r="D41" s="97" t="s">
        <v>50</v>
      </c>
      <c r="E41" s="97" t="s">
        <v>238</v>
      </c>
      <c r="F41" s="76">
        <v>42770</v>
      </c>
      <c r="G41" s="133"/>
      <c r="H41" s="133"/>
      <c r="I41" s="75">
        <v>18</v>
      </c>
      <c r="J41" s="68">
        <f t="shared" si="0"/>
        <v>3214.2857142857147</v>
      </c>
      <c r="K41" s="68">
        <f t="shared" si="1"/>
        <v>0</v>
      </c>
      <c r="L41" s="68">
        <f t="shared" si="2"/>
        <v>160.71428571428575</v>
      </c>
      <c r="M41" s="68"/>
      <c r="N41" s="68">
        <f t="shared" si="15"/>
        <v>514.28571428571433</v>
      </c>
      <c r="O41" s="68"/>
      <c r="P41" s="68">
        <f>((1950+1441+1043+814+0)/I$3)*I41</f>
        <v>3373.7142857142853</v>
      </c>
      <c r="Q41" s="68"/>
      <c r="R41" s="68">
        <v>0</v>
      </c>
      <c r="S41" s="68">
        <v>0</v>
      </c>
      <c r="T41" s="68">
        <f t="shared" si="31"/>
        <v>7263</v>
      </c>
      <c r="U41" s="69">
        <f t="shared" si="4"/>
        <v>385.71428571428572</v>
      </c>
      <c r="V41" s="69">
        <f t="shared" si="14"/>
        <v>128</v>
      </c>
      <c r="W41" s="68">
        <v>0</v>
      </c>
      <c r="X41" s="68">
        <v>0</v>
      </c>
      <c r="Y41" s="68">
        <f t="shared" si="29"/>
        <v>513.71428571428578</v>
      </c>
      <c r="Z41" s="68">
        <f t="shared" si="6"/>
        <v>6749.2857142857138</v>
      </c>
      <c r="AA41" s="68">
        <v>0</v>
      </c>
      <c r="AB41" s="68">
        <f t="shared" si="7"/>
        <v>6749.2857142857138</v>
      </c>
      <c r="AC41" s="69">
        <f t="shared" si="8"/>
        <v>422.6785714285715</v>
      </c>
      <c r="AD41" s="69">
        <f t="shared" si="9"/>
        <v>345</v>
      </c>
      <c r="AE41" s="70">
        <f t="shared" si="10"/>
        <v>0</v>
      </c>
      <c r="AF41" s="71">
        <f t="shared" si="30"/>
        <v>767.67857142857156</v>
      </c>
      <c r="AG41" s="71">
        <f t="shared" si="12"/>
        <v>8030.6785714285716</v>
      </c>
    </row>
    <row r="42" spans="1:33" x14ac:dyDescent="0.2">
      <c r="A42" s="74" t="s">
        <v>271</v>
      </c>
      <c r="B42" s="75" t="e">
        <f t="shared" si="13"/>
        <v>#REF!</v>
      </c>
      <c r="C42" s="75" t="s">
        <v>208</v>
      </c>
      <c r="D42" s="97" t="s">
        <v>50</v>
      </c>
      <c r="E42" s="97" t="s">
        <v>242</v>
      </c>
      <c r="F42" s="76">
        <v>42771</v>
      </c>
      <c r="G42" s="133"/>
      <c r="H42" s="133"/>
      <c r="I42" s="75">
        <v>30</v>
      </c>
      <c r="J42" s="68">
        <f t="shared" si="0"/>
        <v>5357.1428571428578</v>
      </c>
      <c r="K42" s="68">
        <f t="shared" si="1"/>
        <v>0</v>
      </c>
      <c r="L42" s="68">
        <f t="shared" si="2"/>
        <v>267.85714285714289</v>
      </c>
      <c r="M42" s="68"/>
      <c r="N42" s="68">
        <f t="shared" si="15"/>
        <v>857.14285714285722</v>
      </c>
      <c r="O42" s="68"/>
      <c r="P42" s="68">
        <f>((1950+1441+839+0)/I$3)*I42</f>
        <v>4532.1428571428578</v>
      </c>
      <c r="Q42" s="68"/>
      <c r="R42" s="68">
        <v>0</v>
      </c>
      <c r="S42" s="68">
        <v>0</v>
      </c>
      <c r="T42" s="68">
        <f t="shared" si="31"/>
        <v>11014.285714285716</v>
      </c>
      <c r="U42" s="69">
        <f t="shared" si="4"/>
        <v>642.85714285714289</v>
      </c>
      <c r="V42" s="69">
        <f t="shared" si="14"/>
        <v>193</v>
      </c>
      <c r="W42" s="68">
        <v>0</v>
      </c>
      <c r="X42" s="68">
        <v>0</v>
      </c>
      <c r="Y42" s="68">
        <f t="shared" si="29"/>
        <v>835.85714285714289</v>
      </c>
      <c r="Z42" s="68">
        <f t="shared" si="6"/>
        <v>10178.428571428572</v>
      </c>
      <c r="AA42" s="68">
        <v>0</v>
      </c>
      <c r="AB42" s="68">
        <f t="shared" si="7"/>
        <v>10178.428571428572</v>
      </c>
      <c r="AC42" s="69">
        <f t="shared" si="8"/>
        <v>704.46428571428578</v>
      </c>
      <c r="AD42" s="69">
        <f t="shared" si="9"/>
        <v>524</v>
      </c>
      <c r="AE42" s="70">
        <f t="shared" si="10"/>
        <v>0</v>
      </c>
      <c r="AF42" s="71">
        <f t="shared" si="30"/>
        <v>1228.4642857142858</v>
      </c>
      <c r="AG42" s="71">
        <f t="shared" si="12"/>
        <v>12242.750000000002</v>
      </c>
    </row>
    <row r="43" spans="1:33" x14ac:dyDescent="0.2">
      <c r="A43" s="74" t="s">
        <v>273</v>
      </c>
      <c r="B43" s="75" t="e">
        <f t="shared" si="13"/>
        <v>#REF!</v>
      </c>
      <c r="C43" s="75" t="s">
        <v>209</v>
      </c>
      <c r="D43" s="97" t="s">
        <v>50</v>
      </c>
      <c r="E43" s="97" t="s">
        <v>241</v>
      </c>
      <c r="F43" s="76">
        <v>42772</v>
      </c>
      <c r="G43" s="133"/>
      <c r="H43" s="133"/>
      <c r="I43" s="75">
        <v>32</v>
      </c>
      <c r="J43" s="68">
        <f t="shared" si="0"/>
        <v>5714.2857142857147</v>
      </c>
      <c r="K43" s="68">
        <f t="shared" si="1"/>
        <v>0</v>
      </c>
      <c r="L43" s="68">
        <f t="shared" si="2"/>
        <v>285.71428571428572</v>
      </c>
      <c r="M43" s="68"/>
      <c r="N43" s="68">
        <f t="shared" si="15"/>
        <v>914.28571428571433</v>
      </c>
      <c r="O43" s="68"/>
      <c r="P43" s="68">
        <f>((1950+1441+839+0)/I$3)*I43</f>
        <v>4834.2857142857147</v>
      </c>
      <c r="Q43" s="68"/>
      <c r="R43" s="68">
        <v>0</v>
      </c>
      <c r="S43" s="68">
        <v>0</v>
      </c>
      <c r="T43" s="68">
        <f t="shared" si="31"/>
        <v>11748.571428571429</v>
      </c>
      <c r="U43" s="69">
        <f t="shared" si="4"/>
        <v>685.71428571428578</v>
      </c>
      <c r="V43" s="69">
        <f t="shared" si="14"/>
        <v>206</v>
      </c>
      <c r="W43" s="68">
        <v>0</v>
      </c>
      <c r="X43" s="68">
        <v>0</v>
      </c>
      <c r="Y43" s="68">
        <f t="shared" si="29"/>
        <v>891.71428571428578</v>
      </c>
      <c r="Z43" s="68">
        <f t="shared" si="6"/>
        <v>10856.857142857143</v>
      </c>
      <c r="AA43" s="68">
        <v>0</v>
      </c>
      <c r="AB43" s="68">
        <f t="shared" si="7"/>
        <v>10856.857142857143</v>
      </c>
      <c r="AC43" s="69">
        <f t="shared" si="8"/>
        <v>751.42857142857156</v>
      </c>
      <c r="AD43" s="69">
        <f t="shared" si="9"/>
        <v>559</v>
      </c>
      <c r="AE43" s="70">
        <f t="shared" si="10"/>
        <v>0</v>
      </c>
      <c r="AF43" s="71">
        <f t="shared" si="30"/>
        <v>1310.4285714285716</v>
      </c>
      <c r="AG43" s="71">
        <f t="shared" si="12"/>
        <v>13059</v>
      </c>
    </row>
    <row r="44" spans="1:33" x14ac:dyDescent="0.2">
      <c r="A44" s="74" t="s">
        <v>274</v>
      </c>
      <c r="B44" s="75" t="e">
        <f t="shared" si="13"/>
        <v>#REF!</v>
      </c>
      <c r="C44" s="75" t="s">
        <v>210</v>
      </c>
      <c r="D44" s="97" t="s">
        <v>50</v>
      </c>
      <c r="E44" s="97" t="s">
        <v>239</v>
      </c>
      <c r="F44" s="76">
        <v>42773</v>
      </c>
      <c r="G44" s="133"/>
      <c r="H44" s="133"/>
      <c r="I44" s="75">
        <v>29</v>
      </c>
      <c r="J44" s="68">
        <f t="shared" si="0"/>
        <v>5178.5714285714294</v>
      </c>
      <c r="K44" s="68">
        <f t="shared" si="1"/>
        <v>0</v>
      </c>
      <c r="L44" s="68">
        <f t="shared" si="2"/>
        <v>258.9285714285715</v>
      </c>
      <c r="M44" s="68"/>
      <c r="N44" s="68">
        <f t="shared" si="15"/>
        <v>828.57142857142867</v>
      </c>
      <c r="O44" s="68"/>
      <c r="P44" s="68">
        <f>((1950+1441+839+0)/I$3)*I44</f>
        <v>4381.0714285714294</v>
      </c>
      <c r="Q44" s="68"/>
      <c r="R44" s="68">
        <v>0</v>
      </c>
      <c r="S44" s="68">
        <v>0</v>
      </c>
      <c r="T44" s="68">
        <f t="shared" si="31"/>
        <v>10647.142857142859</v>
      </c>
      <c r="U44" s="69">
        <f t="shared" si="4"/>
        <v>621.42857142857144</v>
      </c>
      <c r="V44" s="69">
        <f t="shared" si="14"/>
        <v>187</v>
      </c>
      <c r="W44" s="68">
        <v>0</v>
      </c>
      <c r="X44" s="68">
        <v>0</v>
      </c>
      <c r="Y44" s="68">
        <f t="shared" si="29"/>
        <v>808.42857142857144</v>
      </c>
      <c r="Z44" s="68">
        <f t="shared" si="6"/>
        <v>9838.7142857142881</v>
      </c>
      <c r="AA44" s="68">
        <v>0</v>
      </c>
      <c r="AB44" s="68">
        <f t="shared" si="7"/>
        <v>9838.7142857142881</v>
      </c>
      <c r="AC44" s="69">
        <f t="shared" si="8"/>
        <v>680.982142857143</v>
      </c>
      <c r="AD44" s="69">
        <f t="shared" si="9"/>
        <v>506</v>
      </c>
      <c r="AE44" s="70">
        <f t="shared" si="10"/>
        <v>0</v>
      </c>
      <c r="AF44" s="71">
        <f t="shared" si="30"/>
        <v>1186.9821428571431</v>
      </c>
      <c r="AG44" s="71">
        <f t="shared" si="12"/>
        <v>11834.125000000002</v>
      </c>
    </row>
    <row r="45" spans="1:33" x14ac:dyDescent="0.2">
      <c r="A45" s="74" t="s">
        <v>276</v>
      </c>
      <c r="B45" s="75" t="e">
        <f t="shared" si="13"/>
        <v>#REF!</v>
      </c>
      <c r="C45" s="75" t="s">
        <v>211</v>
      </c>
      <c r="D45" s="97" t="s">
        <v>50</v>
      </c>
      <c r="E45" s="97" t="s">
        <v>484</v>
      </c>
      <c r="F45" s="76">
        <v>42774</v>
      </c>
      <c r="G45" s="133"/>
      <c r="H45" s="133"/>
      <c r="I45" s="75">
        <v>31</v>
      </c>
      <c r="J45" s="68">
        <f t="shared" si="0"/>
        <v>5535.7142857142862</v>
      </c>
      <c r="K45" s="68">
        <f t="shared" si="1"/>
        <v>0</v>
      </c>
      <c r="L45" s="68">
        <f t="shared" si="2"/>
        <v>276.78571428571433</v>
      </c>
      <c r="M45" s="68"/>
      <c r="N45" s="68">
        <f t="shared" si="15"/>
        <v>885.71428571428578</v>
      </c>
      <c r="O45" s="68"/>
      <c r="P45" s="68">
        <f>((1950+1441+1043+0)/I$3)*I45</f>
        <v>4909.0714285714284</v>
      </c>
      <c r="Q45" s="68"/>
      <c r="R45" s="68">
        <v>0</v>
      </c>
      <c r="S45" s="68">
        <v>0</v>
      </c>
      <c r="T45" s="68">
        <f t="shared" si="31"/>
        <v>11607.285714285714</v>
      </c>
      <c r="U45" s="69">
        <f t="shared" si="4"/>
        <v>664.28571428571433</v>
      </c>
      <c r="V45" s="69">
        <f t="shared" si="14"/>
        <v>204</v>
      </c>
      <c r="W45" s="68">
        <v>0</v>
      </c>
      <c r="X45" s="68">
        <v>0</v>
      </c>
      <c r="Y45" s="68">
        <f t="shared" si="29"/>
        <v>868.28571428571433</v>
      </c>
      <c r="Z45" s="68">
        <f t="shared" si="6"/>
        <v>10739</v>
      </c>
      <c r="AA45" s="68">
        <v>0</v>
      </c>
      <c r="AB45" s="68">
        <f t="shared" si="7"/>
        <v>10739</v>
      </c>
      <c r="AC45" s="69">
        <f t="shared" si="8"/>
        <v>727.94642857142867</v>
      </c>
      <c r="AD45" s="69">
        <f t="shared" si="9"/>
        <v>552</v>
      </c>
      <c r="AE45" s="70">
        <f t="shared" si="10"/>
        <v>0</v>
      </c>
      <c r="AF45" s="71">
        <f t="shared" si="30"/>
        <v>1279.9464285714287</v>
      </c>
      <c r="AG45" s="71">
        <f t="shared" si="12"/>
        <v>12887.232142857143</v>
      </c>
    </row>
    <row r="46" spans="1:33" x14ac:dyDescent="0.2">
      <c r="A46" s="74" t="s">
        <v>277</v>
      </c>
      <c r="B46" s="75" t="e">
        <f t="shared" si="13"/>
        <v>#REF!</v>
      </c>
      <c r="C46" s="75" t="s">
        <v>212</v>
      </c>
      <c r="D46" s="97" t="s">
        <v>50</v>
      </c>
      <c r="E46" s="97" t="s">
        <v>484</v>
      </c>
      <c r="F46" s="76">
        <v>42775</v>
      </c>
      <c r="G46" s="133"/>
      <c r="H46" s="133"/>
      <c r="I46" s="75">
        <v>19</v>
      </c>
      <c r="J46" s="68">
        <f t="shared" si="0"/>
        <v>3392.8571428571431</v>
      </c>
      <c r="K46" s="68">
        <f t="shared" si="1"/>
        <v>0</v>
      </c>
      <c r="L46" s="68">
        <f t="shared" si="2"/>
        <v>169.64285714285717</v>
      </c>
      <c r="M46" s="68"/>
      <c r="N46" s="68">
        <f t="shared" si="15"/>
        <v>542.85714285714289</v>
      </c>
      <c r="O46" s="68"/>
      <c r="P46" s="68">
        <f>((1950+1441+1043+0)/I$3)*I46</f>
        <v>3008.7857142857142</v>
      </c>
      <c r="Q46" s="68"/>
      <c r="R46" s="68">
        <v>0</v>
      </c>
      <c r="S46" s="68">
        <v>0</v>
      </c>
      <c r="T46" s="68">
        <f t="shared" si="31"/>
        <v>7114.1428571428569</v>
      </c>
      <c r="U46" s="69">
        <f t="shared" si="4"/>
        <v>407.14285714285717</v>
      </c>
      <c r="V46" s="69">
        <f t="shared" si="14"/>
        <v>125</v>
      </c>
      <c r="W46" s="68">
        <v>0</v>
      </c>
      <c r="X46" s="68">
        <v>0</v>
      </c>
      <c r="Y46" s="68">
        <f t="shared" si="29"/>
        <v>532.14285714285711</v>
      </c>
      <c r="Z46" s="68">
        <f t="shared" si="6"/>
        <v>6582</v>
      </c>
      <c r="AA46" s="68">
        <v>0</v>
      </c>
      <c r="AB46" s="68">
        <f t="shared" si="7"/>
        <v>6582</v>
      </c>
      <c r="AC46" s="69">
        <f t="shared" si="8"/>
        <v>446.16071428571433</v>
      </c>
      <c r="AD46" s="69">
        <f t="shared" si="9"/>
        <v>338</v>
      </c>
      <c r="AE46" s="70">
        <f t="shared" si="10"/>
        <v>0</v>
      </c>
      <c r="AF46" s="71">
        <f t="shared" si="30"/>
        <v>784.16071428571433</v>
      </c>
      <c r="AG46" s="71">
        <f t="shared" si="12"/>
        <v>7898.3035714285716</v>
      </c>
    </row>
    <row r="47" spans="1:33" x14ac:dyDescent="0.2">
      <c r="A47" s="74" t="s">
        <v>278</v>
      </c>
      <c r="B47" s="75" t="e">
        <f t="shared" si="13"/>
        <v>#REF!</v>
      </c>
      <c r="C47" s="75" t="s">
        <v>213</v>
      </c>
      <c r="D47" s="97" t="s">
        <v>50</v>
      </c>
      <c r="E47" s="97" t="s">
        <v>234</v>
      </c>
      <c r="F47" s="76">
        <v>42776</v>
      </c>
      <c r="G47" s="133"/>
      <c r="H47" s="133"/>
      <c r="I47" s="75">
        <v>28</v>
      </c>
      <c r="J47" s="68">
        <f t="shared" si="0"/>
        <v>5000</v>
      </c>
      <c r="K47" s="68">
        <f t="shared" si="1"/>
        <v>0</v>
      </c>
      <c r="L47" s="68">
        <f t="shared" si="2"/>
        <v>250</v>
      </c>
      <c r="M47" s="68"/>
      <c r="N47" s="68">
        <f t="shared" si="15"/>
        <v>800</v>
      </c>
      <c r="O47" s="68"/>
      <c r="P47" s="68">
        <f>((1950+1441+1043+814+0)/I$3)*I47</f>
        <v>5248</v>
      </c>
      <c r="Q47" s="68"/>
      <c r="R47" s="68">
        <v>0</v>
      </c>
      <c r="S47" s="68">
        <v>0</v>
      </c>
      <c r="T47" s="68">
        <f t="shared" si="31"/>
        <v>11298</v>
      </c>
      <c r="U47" s="69">
        <f t="shared" si="4"/>
        <v>600</v>
      </c>
      <c r="V47" s="69">
        <f t="shared" si="14"/>
        <v>198</v>
      </c>
      <c r="W47" s="68">
        <v>0</v>
      </c>
      <c r="X47" s="68">
        <v>0</v>
      </c>
      <c r="Y47" s="68">
        <f t="shared" si="29"/>
        <v>798</v>
      </c>
      <c r="Z47" s="68">
        <f t="shared" si="6"/>
        <v>10500</v>
      </c>
      <c r="AA47" s="68">
        <v>0</v>
      </c>
      <c r="AB47" s="68">
        <f t="shared" si="7"/>
        <v>10500</v>
      </c>
      <c r="AC47" s="69">
        <f t="shared" si="8"/>
        <v>657.5</v>
      </c>
      <c r="AD47" s="69">
        <f t="shared" si="9"/>
        <v>537</v>
      </c>
      <c r="AE47" s="70">
        <f t="shared" si="10"/>
        <v>0</v>
      </c>
      <c r="AF47" s="71">
        <f t="shared" si="30"/>
        <v>1194.5</v>
      </c>
      <c r="AG47" s="71">
        <f t="shared" si="12"/>
        <v>12492.5</v>
      </c>
    </row>
    <row r="48" spans="1:33" x14ac:dyDescent="0.2">
      <c r="A48" s="74" t="s">
        <v>281</v>
      </c>
      <c r="B48" s="75" t="e">
        <f t="shared" si="13"/>
        <v>#REF!</v>
      </c>
      <c r="C48" s="75" t="s">
        <v>216</v>
      </c>
      <c r="D48" s="97" t="s">
        <v>50</v>
      </c>
      <c r="E48" s="97" t="s">
        <v>484</v>
      </c>
      <c r="F48" s="76">
        <v>42777</v>
      </c>
      <c r="G48" s="133"/>
      <c r="H48" s="133"/>
      <c r="I48" s="75">
        <v>29</v>
      </c>
      <c r="J48" s="68">
        <f t="shared" si="0"/>
        <v>5178.5714285714294</v>
      </c>
      <c r="K48" s="68">
        <f t="shared" si="1"/>
        <v>0</v>
      </c>
      <c r="L48" s="68">
        <f t="shared" si="2"/>
        <v>258.9285714285715</v>
      </c>
      <c r="M48" s="68"/>
      <c r="N48" s="68">
        <f t="shared" si="15"/>
        <v>828.57142857142867</v>
      </c>
      <c r="O48" s="68"/>
      <c r="P48" s="68">
        <f>((1950+1441+839+0)/I$3)*I48</f>
        <v>4381.0714285714294</v>
      </c>
      <c r="Q48" s="68"/>
      <c r="R48" s="68">
        <v>0</v>
      </c>
      <c r="S48" s="68">
        <v>0</v>
      </c>
      <c r="T48" s="68">
        <f t="shared" si="31"/>
        <v>10647.142857142859</v>
      </c>
      <c r="U48" s="69">
        <f t="shared" si="4"/>
        <v>621.42857142857144</v>
      </c>
      <c r="V48" s="69">
        <f t="shared" si="14"/>
        <v>187</v>
      </c>
      <c r="W48" s="68">
        <v>0</v>
      </c>
      <c r="X48" s="68">
        <v>0</v>
      </c>
      <c r="Y48" s="68">
        <f t="shared" si="29"/>
        <v>808.42857142857144</v>
      </c>
      <c r="Z48" s="68">
        <f t="shared" si="6"/>
        <v>9838.7142857142881</v>
      </c>
      <c r="AA48" s="68">
        <v>0</v>
      </c>
      <c r="AB48" s="68">
        <f t="shared" si="7"/>
        <v>9838.7142857142881</v>
      </c>
      <c r="AC48" s="69">
        <f t="shared" si="8"/>
        <v>680.982142857143</v>
      </c>
      <c r="AD48" s="69">
        <f t="shared" si="9"/>
        <v>506</v>
      </c>
      <c r="AE48" s="70">
        <f t="shared" si="10"/>
        <v>0</v>
      </c>
      <c r="AF48" s="71">
        <f t="shared" si="30"/>
        <v>1186.9821428571431</v>
      </c>
      <c r="AG48" s="71">
        <f t="shared" si="12"/>
        <v>11834.125000000002</v>
      </c>
    </row>
    <row r="49" spans="1:33" x14ac:dyDescent="0.2">
      <c r="A49" s="74" t="s">
        <v>283</v>
      </c>
      <c r="B49" s="75" t="e">
        <f t="shared" si="13"/>
        <v>#REF!</v>
      </c>
      <c r="C49" s="75" t="s">
        <v>218</v>
      </c>
      <c r="D49" s="97" t="s">
        <v>50</v>
      </c>
      <c r="E49" s="97" t="s">
        <v>242</v>
      </c>
      <c r="F49" s="76">
        <v>42778</v>
      </c>
      <c r="G49" s="133"/>
      <c r="H49" s="133"/>
      <c r="I49" s="75">
        <v>30</v>
      </c>
      <c r="J49" s="68">
        <f t="shared" si="0"/>
        <v>5357.1428571428578</v>
      </c>
      <c r="K49" s="68">
        <f t="shared" si="1"/>
        <v>0</v>
      </c>
      <c r="L49" s="68">
        <f t="shared" si="2"/>
        <v>267.85714285714289</v>
      </c>
      <c r="M49" s="68"/>
      <c r="N49" s="68">
        <f t="shared" si="15"/>
        <v>857.14285714285722</v>
      </c>
      <c r="O49" s="68"/>
      <c r="P49" s="68">
        <f>((1950+1441+839+0)/I$3)*I49</f>
        <v>4532.1428571428578</v>
      </c>
      <c r="Q49" s="68"/>
      <c r="R49" s="68">
        <v>0</v>
      </c>
      <c r="S49" s="68">
        <v>0</v>
      </c>
      <c r="T49" s="68">
        <f t="shared" si="31"/>
        <v>11014.285714285716</v>
      </c>
      <c r="U49" s="69">
        <f t="shared" si="4"/>
        <v>642.85714285714289</v>
      </c>
      <c r="V49" s="69">
        <f t="shared" si="14"/>
        <v>193</v>
      </c>
      <c r="W49" s="68">
        <v>0</v>
      </c>
      <c r="X49" s="68">
        <v>0</v>
      </c>
      <c r="Y49" s="68">
        <f t="shared" si="29"/>
        <v>835.85714285714289</v>
      </c>
      <c r="Z49" s="68">
        <f t="shared" si="6"/>
        <v>10178.428571428572</v>
      </c>
      <c r="AA49" s="68">
        <v>0</v>
      </c>
      <c r="AB49" s="68">
        <f t="shared" si="7"/>
        <v>10178.428571428572</v>
      </c>
      <c r="AC49" s="69">
        <f t="shared" si="8"/>
        <v>704.46428571428578</v>
      </c>
      <c r="AD49" s="69">
        <f t="shared" si="9"/>
        <v>524</v>
      </c>
      <c r="AE49" s="70">
        <f t="shared" si="10"/>
        <v>0</v>
      </c>
      <c r="AF49" s="71">
        <f t="shared" si="30"/>
        <v>1228.4642857142858</v>
      </c>
      <c r="AG49" s="71">
        <f t="shared" si="12"/>
        <v>12242.750000000002</v>
      </c>
    </row>
    <row r="50" spans="1:33" x14ac:dyDescent="0.2">
      <c r="A50" s="74" t="s">
        <v>296</v>
      </c>
      <c r="B50" s="75" t="e">
        <f t="shared" si="13"/>
        <v>#REF!</v>
      </c>
      <c r="C50" s="75" t="s">
        <v>349</v>
      </c>
      <c r="D50" s="97" t="s">
        <v>50</v>
      </c>
      <c r="E50" s="97" t="s">
        <v>240</v>
      </c>
      <c r="F50" s="76">
        <v>42779</v>
      </c>
      <c r="G50" s="133"/>
      <c r="H50" s="133"/>
      <c r="I50" s="75">
        <v>31</v>
      </c>
      <c r="J50" s="68">
        <f t="shared" si="0"/>
        <v>5535.7142857142862</v>
      </c>
      <c r="K50" s="68">
        <f t="shared" si="1"/>
        <v>0</v>
      </c>
      <c r="L50" s="68">
        <f t="shared" si="2"/>
        <v>276.78571428571433</v>
      </c>
      <c r="M50" s="68"/>
      <c r="N50" s="68">
        <f t="shared" si="15"/>
        <v>885.71428571428578</v>
      </c>
      <c r="O50" s="68"/>
      <c r="P50" s="68">
        <f>((1950+1441+3384+1018+1455)/I$3)*I50</f>
        <v>10238.857142857143</v>
      </c>
      <c r="Q50" s="68"/>
      <c r="R50" s="68">
        <v>0</v>
      </c>
      <c r="S50" s="68">
        <v>0</v>
      </c>
      <c r="T50" s="68">
        <f t="shared" si="31"/>
        <v>16937.071428571428</v>
      </c>
      <c r="U50" s="69">
        <f t="shared" si="4"/>
        <v>664.28571428571433</v>
      </c>
      <c r="V50" s="69">
        <f t="shared" si="14"/>
        <v>297</v>
      </c>
      <c r="W50" s="68">
        <v>0</v>
      </c>
      <c r="X50" s="68">
        <v>0</v>
      </c>
      <c r="Y50" s="68">
        <f t="shared" si="29"/>
        <v>961.28571428571433</v>
      </c>
      <c r="Z50" s="101">
        <f t="shared" si="6"/>
        <v>15975.785714285714</v>
      </c>
      <c r="AA50" s="68">
        <v>0</v>
      </c>
      <c r="AB50" s="68">
        <f t="shared" si="7"/>
        <v>15975.785714285714</v>
      </c>
      <c r="AC50" s="69">
        <f t="shared" si="8"/>
        <v>727.94642857142867</v>
      </c>
      <c r="AD50" s="69">
        <f t="shared" si="9"/>
        <v>805</v>
      </c>
      <c r="AE50" s="70">
        <f t="shared" si="10"/>
        <v>0</v>
      </c>
      <c r="AF50" s="71">
        <f t="shared" si="30"/>
        <v>1532.9464285714287</v>
      </c>
      <c r="AG50" s="71">
        <f t="shared" si="12"/>
        <v>18470.017857142855</v>
      </c>
    </row>
    <row r="51" spans="1:33" x14ac:dyDescent="0.2">
      <c r="A51" s="74" t="s">
        <v>297</v>
      </c>
      <c r="B51" s="75" t="e">
        <f t="shared" si="13"/>
        <v>#REF!</v>
      </c>
      <c r="C51" s="75" t="s">
        <v>254</v>
      </c>
      <c r="D51" s="97" t="s">
        <v>50</v>
      </c>
      <c r="E51" s="97" t="s">
        <v>240</v>
      </c>
      <c r="F51" s="76">
        <v>42780</v>
      </c>
      <c r="G51" s="133"/>
      <c r="H51" s="133"/>
      <c r="I51" s="75">
        <v>32</v>
      </c>
      <c r="J51" s="68">
        <f t="shared" si="0"/>
        <v>5714.2857142857147</v>
      </c>
      <c r="K51" s="68">
        <f t="shared" si="1"/>
        <v>0</v>
      </c>
      <c r="L51" s="68">
        <f t="shared" si="2"/>
        <v>285.71428571428572</v>
      </c>
      <c r="M51" s="68"/>
      <c r="N51" s="68">
        <f t="shared" si="15"/>
        <v>914.28571428571433</v>
      </c>
      <c r="O51" s="68"/>
      <c r="P51" s="68">
        <f>((1950+1441-178+3562+1018)/I$3)*I51</f>
        <v>8906.2857142857138</v>
      </c>
      <c r="Q51" s="68"/>
      <c r="R51" s="68">
        <v>0</v>
      </c>
      <c r="S51" s="68">
        <v>0</v>
      </c>
      <c r="T51" s="68">
        <f t="shared" si="31"/>
        <v>15820.571428571428</v>
      </c>
      <c r="U51" s="69">
        <f t="shared" si="4"/>
        <v>685.71428571428578</v>
      </c>
      <c r="V51" s="69">
        <f t="shared" si="14"/>
        <v>277</v>
      </c>
      <c r="W51" s="68">
        <v>0</v>
      </c>
      <c r="X51" s="68">
        <v>0</v>
      </c>
      <c r="Y51" s="68">
        <f t="shared" ref="Y51" si="32">SUM(U51:X51)</f>
        <v>962.71428571428578</v>
      </c>
      <c r="Z51" s="68">
        <f t="shared" si="6"/>
        <v>14857.857142857141</v>
      </c>
      <c r="AA51" s="68">
        <v>0</v>
      </c>
      <c r="AB51" s="68">
        <f t="shared" si="7"/>
        <v>14857.857142857141</v>
      </c>
      <c r="AC51" s="69">
        <f t="shared" si="8"/>
        <v>751.42857142857156</v>
      </c>
      <c r="AD51" s="69">
        <f t="shared" si="9"/>
        <v>752</v>
      </c>
      <c r="AE51" s="70">
        <f t="shared" si="10"/>
        <v>0</v>
      </c>
      <c r="AF51" s="71">
        <f t="shared" ref="AF51" si="33">SUM(AC51:AE51)</f>
        <v>1503.4285714285716</v>
      </c>
      <c r="AG51" s="71">
        <f t="shared" si="12"/>
        <v>17324</v>
      </c>
    </row>
    <row r="52" spans="1:33" x14ac:dyDescent="0.2">
      <c r="A52" s="74" t="s">
        <v>299</v>
      </c>
      <c r="B52" s="75" t="e">
        <f t="shared" si="13"/>
        <v>#REF!</v>
      </c>
      <c r="C52" s="75" t="s">
        <v>256</v>
      </c>
      <c r="D52" s="97" t="s">
        <v>50</v>
      </c>
      <c r="E52" s="97" t="s">
        <v>238</v>
      </c>
      <c r="F52" s="76">
        <v>42781</v>
      </c>
      <c r="G52" s="133"/>
      <c r="H52" s="133"/>
      <c r="I52" s="75">
        <v>8</v>
      </c>
      <c r="J52" s="68">
        <f t="shared" si="0"/>
        <v>1428.5714285714287</v>
      </c>
      <c r="K52" s="68">
        <f t="shared" si="1"/>
        <v>0</v>
      </c>
      <c r="L52" s="68">
        <f t="shared" si="2"/>
        <v>71.428571428571431</v>
      </c>
      <c r="M52" s="68"/>
      <c r="N52" s="68">
        <f t="shared" si="15"/>
        <v>228.57142857142858</v>
      </c>
      <c r="O52" s="68"/>
      <c r="P52" s="68">
        <f>((1950+1441+839+1018)/I$3)*I52</f>
        <v>1499.4285714285713</v>
      </c>
      <c r="Q52" s="68"/>
      <c r="R52" s="68">
        <v>0</v>
      </c>
      <c r="S52" s="68">
        <v>0</v>
      </c>
      <c r="T52" s="68">
        <f t="shared" si="31"/>
        <v>3228</v>
      </c>
      <c r="U52" s="69">
        <f t="shared" si="4"/>
        <v>171.42857142857144</v>
      </c>
      <c r="V52" s="69">
        <f t="shared" si="14"/>
        <v>57</v>
      </c>
      <c r="W52" s="68">
        <v>0</v>
      </c>
      <c r="X52" s="68">
        <v>0</v>
      </c>
      <c r="Y52" s="68">
        <f t="shared" ref="Y52:Y54" si="34">SUM(U52:X52)</f>
        <v>228.42857142857144</v>
      </c>
      <c r="Z52" s="68">
        <f t="shared" si="6"/>
        <v>2999.5714285714284</v>
      </c>
      <c r="AA52" s="68">
        <v>0</v>
      </c>
      <c r="AB52" s="68">
        <f t="shared" si="7"/>
        <v>2999.5714285714284</v>
      </c>
      <c r="AC52" s="69">
        <f t="shared" si="8"/>
        <v>187.85714285714289</v>
      </c>
      <c r="AD52" s="69">
        <f t="shared" si="9"/>
        <v>154</v>
      </c>
      <c r="AE52" s="70">
        <f t="shared" si="10"/>
        <v>0</v>
      </c>
      <c r="AF52" s="71">
        <f t="shared" ref="AF52:AF54" si="35">SUM(AC52:AE52)</f>
        <v>341.85714285714289</v>
      </c>
      <c r="AG52" s="71">
        <f t="shared" si="12"/>
        <v>3569.8571428571431</v>
      </c>
    </row>
    <row r="53" spans="1:33" x14ac:dyDescent="0.2">
      <c r="A53" s="74" t="s">
        <v>300</v>
      </c>
      <c r="B53" s="75" t="e">
        <f t="shared" si="13"/>
        <v>#REF!</v>
      </c>
      <c r="C53" s="75" t="s">
        <v>257</v>
      </c>
      <c r="D53" s="97" t="s">
        <v>50</v>
      </c>
      <c r="E53" s="97" t="s">
        <v>484</v>
      </c>
      <c r="F53" s="76">
        <v>42782</v>
      </c>
      <c r="G53" s="133"/>
      <c r="H53" s="133"/>
      <c r="I53" s="75">
        <v>30</v>
      </c>
      <c r="J53" s="68">
        <f t="shared" si="0"/>
        <v>5357.1428571428578</v>
      </c>
      <c r="K53" s="68">
        <f t="shared" si="1"/>
        <v>0</v>
      </c>
      <c r="L53" s="68">
        <f t="shared" si="2"/>
        <v>267.85714285714289</v>
      </c>
      <c r="M53" s="68"/>
      <c r="N53" s="68">
        <f t="shared" si="15"/>
        <v>857.14285714285722</v>
      </c>
      <c r="O53" s="68"/>
      <c r="P53" s="68">
        <f>((1950+1441+839+0)/I$3)*I53</f>
        <v>4532.1428571428578</v>
      </c>
      <c r="Q53" s="68"/>
      <c r="R53" s="68">
        <v>0</v>
      </c>
      <c r="S53" s="68">
        <v>0</v>
      </c>
      <c r="T53" s="68">
        <f t="shared" si="31"/>
        <v>11014.285714285716</v>
      </c>
      <c r="U53" s="69">
        <f t="shared" si="4"/>
        <v>642.85714285714289</v>
      </c>
      <c r="V53" s="69">
        <f t="shared" si="14"/>
        <v>193</v>
      </c>
      <c r="W53" s="68">
        <v>0</v>
      </c>
      <c r="X53" s="68">
        <v>0</v>
      </c>
      <c r="Y53" s="68">
        <f t="shared" si="34"/>
        <v>835.85714285714289</v>
      </c>
      <c r="Z53" s="68">
        <f t="shared" si="6"/>
        <v>10178.428571428572</v>
      </c>
      <c r="AA53" s="68">
        <v>0</v>
      </c>
      <c r="AB53" s="68">
        <f t="shared" si="7"/>
        <v>10178.428571428572</v>
      </c>
      <c r="AC53" s="69">
        <f t="shared" si="8"/>
        <v>704.46428571428578</v>
      </c>
      <c r="AD53" s="69">
        <f t="shared" si="9"/>
        <v>524</v>
      </c>
      <c r="AE53" s="70">
        <f t="shared" si="10"/>
        <v>0</v>
      </c>
      <c r="AF53" s="71">
        <f t="shared" si="35"/>
        <v>1228.4642857142858</v>
      </c>
      <c r="AG53" s="71">
        <f t="shared" si="12"/>
        <v>12242.750000000002</v>
      </c>
    </row>
    <row r="54" spans="1:33" x14ac:dyDescent="0.2">
      <c r="A54" s="74" t="s">
        <v>302</v>
      </c>
      <c r="B54" s="75" t="e">
        <f t="shared" si="13"/>
        <v>#REF!</v>
      </c>
      <c r="C54" s="75" t="s">
        <v>259</v>
      </c>
      <c r="D54" s="97" t="s">
        <v>50</v>
      </c>
      <c r="E54" s="97" t="s">
        <v>240</v>
      </c>
      <c r="F54" s="76">
        <v>42783</v>
      </c>
      <c r="G54" s="133"/>
      <c r="H54" s="133"/>
      <c r="I54" s="75">
        <v>14</v>
      </c>
      <c r="J54" s="68">
        <f t="shared" si="0"/>
        <v>2500</v>
      </c>
      <c r="K54" s="68">
        <f t="shared" si="1"/>
        <v>0</v>
      </c>
      <c r="L54" s="68">
        <f t="shared" si="2"/>
        <v>125</v>
      </c>
      <c r="M54" s="68"/>
      <c r="N54" s="68">
        <f t="shared" si="15"/>
        <v>400</v>
      </c>
      <c r="O54" s="68"/>
      <c r="P54" s="68">
        <f>((1950+1441+839+1527+1018)/I$3)*I54</f>
        <v>3387.5</v>
      </c>
      <c r="Q54" s="68"/>
      <c r="R54" s="68">
        <v>0</v>
      </c>
      <c r="S54" s="68">
        <v>0</v>
      </c>
      <c r="T54" s="68">
        <f t="shared" si="31"/>
        <v>6412.5</v>
      </c>
      <c r="U54" s="69">
        <f t="shared" si="4"/>
        <v>300</v>
      </c>
      <c r="V54" s="69">
        <f t="shared" si="14"/>
        <v>113</v>
      </c>
      <c r="W54" s="68">
        <v>0</v>
      </c>
      <c r="X54" s="68">
        <v>0</v>
      </c>
      <c r="Y54" s="68">
        <f t="shared" si="34"/>
        <v>413</v>
      </c>
      <c r="Z54" s="68">
        <f t="shared" si="6"/>
        <v>5999.5</v>
      </c>
      <c r="AA54" s="68">
        <v>0</v>
      </c>
      <c r="AB54" s="68">
        <f t="shared" si="7"/>
        <v>5999.5</v>
      </c>
      <c r="AC54" s="69">
        <f t="shared" si="8"/>
        <v>328.75</v>
      </c>
      <c r="AD54" s="69">
        <f t="shared" si="9"/>
        <v>305</v>
      </c>
      <c r="AE54" s="70">
        <f t="shared" si="10"/>
        <v>0</v>
      </c>
      <c r="AF54" s="71">
        <f t="shared" si="35"/>
        <v>633.75</v>
      </c>
      <c r="AG54" s="71">
        <f t="shared" si="12"/>
        <v>7046.25</v>
      </c>
    </row>
    <row r="55" spans="1:33" x14ac:dyDescent="0.2">
      <c r="A55" s="74" t="s">
        <v>306</v>
      </c>
      <c r="B55" s="75" t="e">
        <f t="shared" si="13"/>
        <v>#REF!</v>
      </c>
      <c r="C55" s="75" t="s">
        <v>704</v>
      </c>
      <c r="D55" s="97" t="s">
        <v>50</v>
      </c>
      <c r="E55" s="97" t="s">
        <v>484</v>
      </c>
      <c r="F55" s="76">
        <v>42784</v>
      </c>
      <c r="G55" s="133"/>
      <c r="H55" s="133"/>
      <c r="I55" s="75">
        <v>30</v>
      </c>
      <c r="J55" s="68">
        <f t="shared" si="0"/>
        <v>5357.1428571428578</v>
      </c>
      <c r="K55" s="68">
        <f t="shared" si="1"/>
        <v>0</v>
      </c>
      <c r="L55" s="68">
        <f t="shared" si="2"/>
        <v>267.85714285714289</v>
      </c>
      <c r="M55" s="68"/>
      <c r="N55" s="68">
        <f t="shared" si="15"/>
        <v>857.14285714285722</v>
      </c>
      <c r="O55" s="68"/>
      <c r="P55" s="68">
        <f>((1950+1441+839+0)/I$3)*I55</f>
        <v>4532.1428571428578</v>
      </c>
      <c r="Q55" s="68"/>
      <c r="R55" s="68">
        <v>0</v>
      </c>
      <c r="S55" s="68">
        <v>0</v>
      </c>
      <c r="T55" s="68">
        <f t="shared" si="31"/>
        <v>11014.285714285716</v>
      </c>
      <c r="U55" s="69">
        <f t="shared" si="4"/>
        <v>642.85714285714289</v>
      </c>
      <c r="V55" s="69">
        <f t="shared" si="14"/>
        <v>193</v>
      </c>
      <c r="W55" s="68">
        <v>0</v>
      </c>
      <c r="X55" s="68">
        <v>0</v>
      </c>
      <c r="Y55" s="68">
        <f t="shared" ref="Y55:Y116" si="36">SUM(U55:X55)</f>
        <v>835.85714285714289</v>
      </c>
      <c r="Z55" s="68">
        <f t="shared" si="6"/>
        <v>10178.428571428572</v>
      </c>
      <c r="AA55" s="68">
        <v>0</v>
      </c>
      <c r="AB55" s="68">
        <f t="shared" si="7"/>
        <v>10178.428571428572</v>
      </c>
      <c r="AC55" s="69">
        <f t="shared" si="8"/>
        <v>704.46428571428578</v>
      </c>
      <c r="AD55" s="69">
        <f t="shared" si="9"/>
        <v>524</v>
      </c>
      <c r="AE55" s="70">
        <f t="shared" si="10"/>
        <v>0</v>
      </c>
      <c r="AF55" s="71">
        <f t="shared" ref="AF55:AF85" si="37">SUM(AC55:AE55)</f>
        <v>1228.4642857142858</v>
      </c>
      <c r="AG55" s="71">
        <f t="shared" si="12"/>
        <v>12242.750000000002</v>
      </c>
    </row>
    <row r="56" spans="1:33" x14ac:dyDescent="0.2">
      <c r="A56" s="74" t="s">
        <v>100</v>
      </c>
      <c r="B56" s="75" t="e">
        <f t="shared" si="13"/>
        <v>#REF!</v>
      </c>
      <c r="C56" s="75" t="s">
        <v>84</v>
      </c>
      <c r="D56" s="97" t="s">
        <v>50</v>
      </c>
      <c r="E56" s="97" t="s">
        <v>239</v>
      </c>
      <c r="F56" s="76">
        <v>42785</v>
      </c>
      <c r="G56" s="133"/>
      <c r="H56" s="133"/>
      <c r="I56" s="75">
        <v>28</v>
      </c>
      <c r="J56" s="68">
        <f t="shared" si="0"/>
        <v>5000</v>
      </c>
      <c r="K56" s="68">
        <f t="shared" si="1"/>
        <v>0</v>
      </c>
      <c r="L56" s="68">
        <f t="shared" si="2"/>
        <v>250</v>
      </c>
      <c r="M56" s="68"/>
      <c r="N56" s="68">
        <f t="shared" si="15"/>
        <v>800</v>
      </c>
      <c r="O56" s="68"/>
      <c r="P56" s="68">
        <f>((5197)/I$3)*I56</f>
        <v>5197</v>
      </c>
      <c r="Q56" s="68"/>
      <c r="R56" s="68">
        <v>0</v>
      </c>
      <c r="S56" s="68">
        <v>0</v>
      </c>
      <c r="T56" s="68">
        <f t="shared" si="31"/>
        <v>11247</v>
      </c>
      <c r="U56" s="69">
        <f t="shared" si="4"/>
        <v>600</v>
      </c>
      <c r="V56" s="69">
        <f t="shared" si="14"/>
        <v>197</v>
      </c>
      <c r="W56" s="68">
        <v>0</v>
      </c>
      <c r="X56" s="68">
        <v>0</v>
      </c>
      <c r="Y56" s="68">
        <f t="shared" si="36"/>
        <v>797</v>
      </c>
      <c r="Z56" s="68">
        <f t="shared" si="6"/>
        <v>10450</v>
      </c>
      <c r="AA56" s="68">
        <v>0</v>
      </c>
      <c r="AB56" s="68">
        <f t="shared" si="7"/>
        <v>10450</v>
      </c>
      <c r="AC56" s="69">
        <f t="shared" si="8"/>
        <v>657.5</v>
      </c>
      <c r="AD56" s="69">
        <f t="shared" si="9"/>
        <v>535</v>
      </c>
      <c r="AE56" s="70">
        <f t="shared" si="10"/>
        <v>0</v>
      </c>
      <c r="AF56" s="71">
        <f t="shared" si="37"/>
        <v>1192.5</v>
      </c>
      <c r="AG56" s="71">
        <f t="shared" si="12"/>
        <v>12439.5</v>
      </c>
    </row>
    <row r="57" spans="1:33" x14ac:dyDescent="0.2">
      <c r="A57" s="74" t="s">
        <v>415</v>
      </c>
      <c r="B57" s="75" t="e">
        <f t="shared" si="13"/>
        <v>#REF!</v>
      </c>
      <c r="C57" s="75" t="s">
        <v>324</v>
      </c>
      <c r="D57" s="97" t="s">
        <v>50</v>
      </c>
      <c r="E57" s="97" t="s">
        <v>239</v>
      </c>
      <c r="F57" s="76">
        <v>42786</v>
      </c>
      <c r="G57" s="133"/>
      <c r="H57" s="133"/>
      <c r="I57" s="75">
        <v>31</v>
      </c>
      <c r="J57" s="68">
        <f t="shared" si="0"/>
        <v>5535.7142857142862</v>
      </c>
      <c r="K57" s="68">
        <f t="shared" si="1"/>
        <v>0</v>
      </c>
      <c r="L57" s="68">
        <f t="shared" si="2"/>
        <v>276.78571428571433</v>
      </c>
      <c r="M57" s="68"/>
      <c r="N57" s="68">
        <f t="shared" si="15"/>
        <v>885.71428571428578</v>
      </c>
      <c r="O57" s="68"/>
      <c r="P57" s="68">
        <f>((1950+1441+839+0)/I$3)*I57</f>
        <v>4683.2142857142862</v>
      </c>
      <c r="Q57" s="68"/>
      <c r="R57" s="68">
        <v>0</v>
      </c>
      <c r="S57" s="68">
        <v>0</v>
      </c>
      <c r="T57" s="68">
        <f t="shared" si="31"/>
        <v>11381.428571428572</v>
      </c>
      <c r="U57" s="69">
        <f t="shared" si="4"/>
        <v>664.28571428571433</v>
      </c>
      <c r="V57" s="69">
        <f t="shared" si="14"/>
        <v>200</v>
      </c>
      <c r="W57" s="68">
        <v>0</v>
      </c>
      <c r="X57" s="68">
        <v>0</v>
      </c>
      <c r="Y57" s="68">
        <f t="shared" si="36"/>
        <v>864.28571428571433</v>
      </c>
      <c r="Z57" s="68">
        <f t="shared" si="6"/>
        <v>10517.142857142859</v>
      </c>
      <c r="AA57" s="68">
        <v>0</v>
      </c>
      <c r="AB57" s="68">
        <f t="shared" si="7"/>
        <v>10517.142857142859</v>
      </c>
      <c r="AC57" s="69">
        <f t="shared" si="8"/>
        <v>727.94642857142867</v>
      </c>
      <c r="AD57" s="69">
        <f t="shared" si="9"/>
        <v>541</v>
      </c>
      <c r="AE57" s="70">
        <f t="shared" si="10"/>
        <v>0</v>
      </c>
      <c r="AF57" s="71">
        <f t="shared" si="37"/>
        <v>1268.9464285714287</v>
      </c>
      <c r="AG57" s="71">
        <f t="shared" si="12"/>
        <v>12650.375000000002</v>
      </c>
    </row>
    <row r="58" spans="1:33" x14ac:dyDescent="0.2">
      <c r="A58" s="74" t="s">
        <v>416</v>
      </c>
      <c r="B58" s="75" t="e">
        <f>#REF!+1</f>
        <v>#REF!</v>
      </c>
      <c r="C58" s="75" t="s">
        <v>326</v>
      </c>
      <c r="D58" s="97" t="s">
        <v>50</v>
      </c>
      <c r="E58" s="97" t="s">
        <v>239</v>
      </c>
      <c r="F58" s="76">
        <v>42787</v>
      </c>
      <c r="G58" s="133"/>
      <c r="H58" s="133"/>
      <c r="I58" s="75">
        <v>32</v>
      </c>
      <c r="J58" s="68">
        <f t="shared" si="0"/>
        <v>5714.2857142857147</v>
      </c>
      <c r="K58" s="68">
        <f t="shared" si="1"/>
        <v>0</v>
      </c>
      <c r="L58" s="68">
        <f t="shared" si="2"/>
        <v>285.71428571428572</v>
      </c>
      <c r="M58" s="68"/>
      <c r="N58" s="68">
        <f t="shared" si="15"/>
        <v>914.28571428571433</v>
      </c>
      <c r="O58" s="68"/>
      <c r="P58" s="68">
        <f>((1950+1441-178+1526+1018+0)/I$3)*I58</f>
        <v>6579.4285714285716</v>
      </c>
      <c r="Q58" s="68"/>
      <c r="R58" s="68">
        <v>0</v>
      </c>
      <c r="S58" s="68">
        <v>0</v>
      </c>
      <c r="T58" s="68">
        <f t="shared" si="31"/>
        <v>13493.714285714286</v>
      </c>
      <c r="U58" s="69">
        <f t="shared" si="4"/>
        <v>685.71428571428578</v>
      </c>
      <c r="V58" s="69">
        <f t="shared" si="14"/>
        <v>237</v>
      </c>
      <c r="W58" s="68">
        <v>0</v>
      </c>
      <c r="X58" s="68">
        <v>0</v>
      </c>
      <c r="Y58" s="68">
        <f t="shared" si="36"/>
        <v>922.71428571428578</v>
      </c>
      <c r="Z58" s="68">
        <f t="shared" si="6"/>
        <v>12571</v>
      </c>
      <c r="AA58" s="68">
        <v>0</v>
      </c>
      <c r="AB58" s="68">
        <f t="shared" si="7"/>
        <v>12571</v>
      </c>
      <c r="AC58" s="69">
        <f t="shared" si="8"/>
        <v>751.42857142857156</v>
      </c>
      <c r="AD58" s="69">
        <f t="shared" si="9"/>
        <v>641</v>
      </c>
      <c r="AE58" s="70">
        <f t="shared" si="10"/>
        <v>0</v>
      </c>
      <c r="AF58" s="71">
        <f t="shared" si="37"/>
        <v>1392.4285714285716</v>
      </c>
      <c r="AG58" s="71">
        <f t="shared" si="12"/>
        <v>14886.142857142859</v>
      </c>
    </row>
    <row r="59" spans="1:33" x14ac:dyDescent="0.2">
      <c r="A59" s="74" t="s">
        <v>417</v>
      </c>
      <c r="B59" s="75" t="e">
        <f t="shared" si="13"/>
        <v>#REF!</v>
      </c>
      <c r="C59" s="75" t="s">
        <v>327</v>
      </c>
      <c r="D59" s="97" t="s">
        <v>50</v>
      </c>
      <c r="E59" s="97" t="s">
        <v>234</v>
      </c>
      <c r="F59" s="76">
        <v>42788</v>
      </c>
      <c r="G59" s="133"/>
      <c r="H59" s="133"/>
      <c r="I59" s="75">
        <v>25</v>
      </c>
      <c r="J59" s="68">
        <f t="shared" si="0"/>
        <v>4464.2857142857147</v>
      </c>
      <c r="K59" s="68">
        <f t="shared" si="1"/>
        <v>0</v>
      </c>
      <c r="L59" s="68">
        <f t="shared" si="2"/>
        <v>223.21428571428575</v>
      </c>
      <c r="M59" s="68"/>
      <c r="N59" s="68">
        <f t="shared" si="15"/>
        <v>714.28571428571433</v>
      </c>
      <c r="O59" s="68"/>
      <c r="P59" s="68">
        <f>((1950+1441-178+1017+1018+0)/I$3)*I59</f>
        <v>4685.7142857142853</v>
      </c>
      <c r="Q59" s="68"/>
      <c r="R59" s="68">
        <v>0</v>
      </c>
      <c r="S59" s="68">
        <v>0</v>
      </c>
      <c r="T59" s="68">
        <f t="shared" si="31"/>
        <v>10087.5</v>
      </c>
      <c r="U59" s="69">
        <f t="shared" si="4"/>
        <v>535.71428571428578</v>
      </c>
      <c r="V59" s="69">
        <f t="shared" si="14"/>
        <v>177</v>
      </c>
      <c r="W59" s="68">
        <v>0</v>
      </c>
      <c r="X59" s="68">
        <v>0</v>
      </c>
      <c r="Y59" s="68">
        <f t="shared" si="36"/>
        <v>712.71428571428578</v>
      </c>
      <c r="Z59" s="68">
        <f t="shared" si="6"/>
        <v>9374.7857142857138</v>
      </c>
      <c r="AA59" s="68">
        <v>0</v>
      </c>
      <c r="AB59" s="68">
        <f t="shared" si="7"/>
        <v>9374.7857142857138</v>
      </c>
      <c r="AC59" s="69">
        <f t="shared" si="8"/>
        <v>587.05357142857156</v>
      </c>
      <c r="AD59" s="69">
        <f t="shared" si="9"/>
        <v>480</v>
      </c>
      <c r="AE59" s="70">
        <f t="shared" si="10"/>
        <v>0</v>
      </c>
      <c r="AF59" s="71">
        <f t="shared" si="37"/>
        <v>1067.0535714285716</v>
      </c>
      <c r="AG59" s="71">
        <f t="shared" si="12"/>
        <v>11154.553571428572</v>
      </c>
    </row>
    <row r="60" spans="1:33" x14ac:dyDescent="0.2">
      <c r="A60" s="74" t="s">
        <v>420</v>
      </c>
      <c r="B60" s="75" t="e">
        <f t="shared" si="13"/>
        <v>#REF!</v>
      </c>
      <c r="C60" s="75" t="s">
        <v>329</v>
      </c>
      <c r="D60" s="97" t="s">
        <v>50</v>
      </c>
      <c r="E60" s="97" t="s">
        <v>484</v>
      </c>
      <c r="F60" s="76">
        <v>42789</v>
      </c>
      <c r="G60" s="133"/>
      <c r="H60" s="133"/>
      <c r="I60" s="75">
        <v>31</v>
      </c>
      <c r="J60" s="68">
        <f t="shared" si="0"/>
        <v>5535.7142857142862</v>
      </c>
      <c r="K60" s="68">
        <f t="shared" si="1"/>
        <v>0</v>
      </c>
      <c r="L60" s="68">
        <f t="shared" si="2"/>
        <v>276.78571428571433</v>
      </c>
      <c r="M60" s="68"/>
      <c r="N60" s="68">
        <f t="shared" si="15"/>
        <v>885.71428571428578</v>
      </c>
      <c r="O60" s="68"/>
      <c r="P60" s="68">
        <f>((1950+1441+1806)/I$3)*I60</f>
        <v>5753.8214285714284</v>
      </c>
      <c r="Q60" s="68"/>
      <c r="R60" s="68">
        <v>0</v>
      </c>
      <c r="S60" s="68">
        <v>0</v>
      </c>
      <c r="T60" s="68">
        <f t="shared" si="31"/>
        <v>12452.035714285714</v>
      </c>
      <c r="U60" s="69">
        <f t="shared" si="4"/>
        <v>664.28571428571433</v>
      </c>
      <c r="V60" s="69">
        <f t="shared" si="14"/>
        <v>218</v>
      </c>
      <c r="W60" s="68">
        <v>0</v>
      </c>
      <c r="X60" s="68">
        <v>0</v>
      </c>
      <c r="Y60" s="68">
        <f t="shared" si="36"/>
        <v>882.28571428571433</v>
      </c>
      <c r="Z60" s="68">
        <f t="shared" si="6"/>
        <v>11569.75</v>
      </c>
      <c r="AA60" s="68">
        <v>0</v>
      </c>
      <c r="AB60" s="68">
        <f t="shared" si="7"/>
        <v>11569.75</v>
      </c>
      <c r="AC60" s="69">
        <f t="shared" si="8"/>
        <v>727.94642857142867</v>
      </c>
      <c r="AD60" s="69">
        <f t="shared" si="9"/>
        <v>592</v>
      </c>
      <c r="AE60" s="70">
        <f t="shared" si="10"/>
        <v>0</v>
      </c>
      <c r="AF60" s="71">
        <f t="shared" si="37"/>
        <v>1319.9464285714287</v>
      </c>
      <c r="AG60" s="71">
        <f t="shared" si="12"/>
        <v>13771.982142857143</v>
      </c>
    </row>
    <row r="61" spans="1:33" x14ac:dyDescent="0.2">
      <c r="A61" s="74" t="s">
        <v>421</v>
      </c>
      <c r="B61" s="75" t="e">
        <f t="shared" si="13"/>
        <v>#REF!</v>
      </c>
      <c r="C61" s="75" t="s">
        <v>330</v>
      </c>
      <c r="D61" s="97" t="s">
        <v>50</v>
      </c>
      <c r="E61" s="97" t="s">
        <v>239</v>
      </c>
      <c r="F61" s="76">
        <v>42790</v>
      </c>
      <c r="G61" s="133"/>
      <c r="H61" s="133"/>
      <c r="I61" s="75">
        <v>16</v>
      </c>
      <c r="J61" s="68">
        <f t="shared" si="0"/>
        <v>2857.1428571428573</v>
      </c>
      <c r="K61" s="68">
        <f t="shared" si="1"/>
        <v>0</v>
      </c>
      <c r="L61" s="68">
        <f t="shared" si="2"/>
        <v>142.85714285714286</v>
      </c>
      <c r="M61" s="68"/>
      <c r="N61" s="68">
        <f t="shared" si="15"/>
        <v>457.14285714285717</v>
      </c>
      <c r="O61" s="68"/>
      <c r="P61" s="68">
        <f>((1950+1441+839+0)/I$3)*I61</f>
        <v>2417.1428571428573</v>
      </c>
      <c r="Q61" s="68"/>
      <c r="R61" s="68">
        <v>0</v>
      </c>
      <c r="S61" s="68">
        <v>0</v>
      </c>
      <c r="T61" s="68">
        <f t="shared" si="31"/>
        <v>5874.2857142857147</v>
      </c>
      <c r="U61" s="69">
        <f t="shared" si="4"/>
        <v>342.85714285714289</v>
      </c>
      <c r="V61" s="69">
        <f t="shared" si="14"/>
        <v>103</v>
      </c>
      <c r="W61" s="68">
        <v>0</v>
      </c>
      <c r="X61" s="68">
        <v>0</v>
      </c>
      <c r="Y61" s="68">
        <f t="shared" si="36"/>
        <v>445.85714285714289</v>
      </c>
      <c r="Z61" s="68">
        <f t="shared" si="6"/>
        <v>5428.4285714285716</v>
      </c>
      <c r="AA61" s="68">
        <v>0</v>
      </c>
      <c r="AB61" s="68">
        <f t="shared" si="7"/>
        <v>5428.4285714285716</v>
      </c>
      <c r="AC61" s="69">
        <f t="shared" si="8"/>
        <v>375.71428571428578</v>
      </c>
      <c r="AD61" s="69">
        <f t="shared" si="9"/>
        <v>280</v>
      </c>
      <c r="AE61" s="70">
        <f t="shared" si="10"/>
        <v>0</v>
      </c>
      <c r="AF61" s="71">
        <f t="shared" si="37"/>
        <v>655.71428571428578</v>
      </c>
      <c r="AG61" s="71">
        <f t="shared" si="12"/>
        <v>6530</v>
      </c>
    </row>
    <row r="62" spans="1:33" x14ac:dyDescent="0.2">
      <c r="A62" s="74" t="s">
        <v>594</v>
      </c>
      <c r="B62" s="75" t="e">
        <f t="shared" si="13"/>
        <v>#REF!</v>
      </c>
      <c r="C62" s="75" t="s">
        <v>259</v>
      </c>
      <c r="D62" s="97" t="s">
        <v>50</v>
      </c>
      <c r="E62" s="97" t="s">
        <v>234</v>
      </c>
      <c r="F62" s="76">
        <v>42791</v>
      </c>
      <c r="G62" s="133"/>
      <c r="H62" s="133"/>
      <c r="I62" s="75">
        <v>29</v>
      </c>
      <c r="J62" s="68">
        <f t="shared" si="0"/>
        <v>5178.5714285714294</v>
      </c>
      <c r="K62" s="68">
        <f t="shared" si="1"/>
        <v>0</v>
      </c>
      <c r="L62" s="68">
        <f t="shared" si="2"/>
        <v>258.9285714285715</v>
      </c>
      <c r="M62" s="68"/>
      <c r="N62" s="68">
        <f t="shared" si="15"/>
        <v>828.57142857142867</v>
      </c>
      <c r="O62" s="68"/>
      <c r="P62" s="68">
        <f>((1950+1441-178+1017+1018+0)/I$3)*I62</f>
        <v>5435.4285714285706</v>
      </c>
      <c r="Q62" s="68"/>
      <c r="R62" s="68">
        <v>0</v>
      </c>
      <c r="S62" s="68">
        <v>0</v>
      </c>
      <c r="T62" s="68">
        <f t="shared" si="31"/>
        <v>11701.5</v>
      </c>
      <c r="U62" s="69">
        <f t="shared" si="4"/>
        <v>621.42857142857144</v>
      </c>
      <c r="V62" s="69">
        <f t="shared" si="14"/>
        <v>205</v>
      </c>
      <c r="W62" s="68">
        <v>0</v>
      </c>
      <c r="X62" s="68">
        <v>0</v>
      </c>
      <c r="Y62" s="68">
        <f t="shared" si="36"/>
        <v>826.42857142857144</v>
      </c>
      <c r="Z62" s="68">
        <f t="shared" si="6"/>
        <v>10875.071428571429</v>
      </c>
      <c r="AA62" s="68">
        <v>0</v>
      </c>
      <c r="AB62" s="68">
        <f t="shared" si="7"/>
        <v>10875.071428571429</v>
      </c>
      <c r="AC62" s="69">
        <f t="shared" si="8"/>
        <v>680.982142857143</v>
      </c>
      <c r="AD62" s="69">
        <f t="shared" si="9"/>
        <v>556</v>
      </c>
      <c r="AE62" s="70">
        <f t="shared" si="10"/>
        <v>0</v>
      </c>
      <c r="AF62" s="71">
        <f t="shared" si="37"/>
        <v>1236.9821428571431</v>
      </c>
      <c r="AG62" s="71">
        <f t="shared" si="12"/>
        <v>12938.482142857143</v>
      </c>
    </row>
    <row r="63" spans="1:33" x14ac:dyDescent="0.2">
      <c r="A63" s="74" t="s">
        <v>597</v>
      </c>
      <c r="B63" s="75" t="e">
        <f t="shared" si="13"/>
        <v>#REF!</v>
      </c>
      <c r="C63" s="75" t="s">
        <v>363</v>
      </c>
      <c r="D63" s="97" t="s">
        <v>50</v>
      </c>
      <c r="E63" s="97" t="s">
        <v>234</v>
      </c>
      <c r="F63" s="76">
        <v>42792</v>
      </c>
      <c r="G63" s="133"/>
      <c r="H63" s="133"/>
      <c r="I63" s="75">
        <v>29</v>
      </c>
      <c r="J63" s="68">
        <f t="shared" si="0"/>
        <v>5178.5714285714294</v>
      </c>
      <c r="K63" s="68">
        <f t="shared" si="1"/>
        <v>0</v>
      </c>
      <c r="L63" s="68">
        <f t="shared" si="2"/>
        <v>258.9285714285715</v>
      </c>
      <c r="M63" s="68"/>
      <c r="N63" s="68">
        <f t="shared" si="15"/>
        <v>828.57142857142867</v>
      </c>
      <c r="O63" s="68"/>
      <c r="P63" s="68">
        <f>((1950+1441-178+1017+1018+0)/I$3)*I63</f>
        <v>5435.4285714285706</v>
      </c>
      <c r="Q63" s="68"/>
      <c r="R63" s="68">
        <v>0</v>
      </c>
      <c r="S63" s="68">
        <v>0</v>
      </c>
      <c r="T63" s="68">
        <f t="shared" si="31"/>
        <v>11701.5</v>
      </c>
      <c r="U63" s="69">
        <f t="shared" si="4"/>
        <v>621.42857142857144</v>
      </c>
      <c r="V63" s="69">
        <f t="shared" si="14"/>
        <v>205</v>
      </c>
      <c r="W63" s="68">
        <v>0</v>
      </c>
      <c r="X63" s="68">
        <v>0</v>
      </c>
      <c r="Y63" s="68">
        <f t="shared" si="36"/>
        <v>826.42857142857144</v>
      </c>
      <c r="Z63" s="68">
        <f t="shared" si="6"/>
        <v>10875.071428571429</v>
      </c>
      <c r="AA63" s="68">
        <v>0</v>
      </c>
      <c r="AB63" s="68">
        <f t="shared" si="7"/>
        <v>10875.071428571429</v>
      </c>
      <c r="AC63" s="69">
        <f t="shared" si="8"/>
        <v>680.982142857143</v>
      </c>
      <c r="AD63" s="69">
        <f t="shared" si="9"/>
        <v>556</v>
      </c>
      <c r="AE63" s="70">
        <f t="shared" si="10"/>
        <v>0</v>
      </c>
      <c r="AF63" s="71">
        <f t="shared" si="37"/>
        <v>1236.9821428571431</v>
      </c>
      <c r="AG63" s="71">
        <f t="shared" si="12"/>
        <v>12938.482142857143</v>
      </c>
    </row>
    <row r="64" spans="1:33" x14ac:dyDescent="0.2">
      <c r="A64" s="74" t="s">
        <v>598</v>
      </c>
      <c r="B64" s="75" t="e">
        <f t="shared" si="13"/>
        <v>#REF!</v>
      </c>
      <c r="C64" s="75" t="s">
        <v>364</v>
      </c>
      <c r="D64" s="97" t="s">
        <v>50</v>
      </c>
      <c r="E64" s="97" t="s">
        <v>234</v>
      </c>
      <c r="F64" s="76">
        <v>42793</v>
      </c>
      <c r="G64" s="133"/>
      <c r="H64" s="133"/>
      <c r="I64" s="75">
        <v>29</v>
      </c>
      <c r="J64" s="68">
        <f t="shared" si="0"/>
        <v>5178.5714285714294</v>
      </c>
      <c r="K64" s="68">
        <f t="shared" si="1"/>
        <v>0</v>
      </c>
      <c r="L64" s="68">
        <f t="shared" si="2"/>
        <v>258.9285714285715</v>
      </c>
      <c r="M64" s="68"/>
      <c r="N64" s="68">
        <f t="shared" si="15"/>
        <v>828.57142857142867</v>
      </c>
      <c r="O64" s="68"/>
      <c r="P64" s="68">
        <f>((1950+1441-178+1017+1018+0)/I$3)*I64</f>
        <v>5435.4285714285706</v>
      </c>
      <c r="Q64" s="68"/>
      <c r="R64" s="68">
        <v>0</v>
      </c>
      <c r="S64" s="68">
        <v>0</v>
      </c>
      <c r="T64" s="68">
        <f t="shared" si="31"/>
        <v>11701.5</v>
      </c>
      <c r="U64" s="69">
        <f t="shared" si="4"/>
        <v>621.42857142857144</v>
      </c>
      <c r="V64" s="69">
        <f t="shared" si="14"/>
        <v>205</v>
      </c>
      <c r="W64" s="68">
        <v>0</v>
      </c>
      <c r="X64" s="68">
        <v>0</v>
      </c>
      <c r="Y64" s="68">
        <f t="shared" si="36"/>
        <v>826.42857142857144</v>
      </c>
      <c r="Z64" s="68">
        <f t="shared" si="6"/>
        <v>10875.071428571429</v>
      </c>
      <c r="AA64" s="68">
        <v>0</v>
      </c>
      <c r="AB64" s="68">
        <f t="shared" si="7"/>
        <v>10875.071428571429</v>
      </c>
      <c r="AC64" s="69">
        <f t="shared" si="8"/>
        <v>680.982142857143</v>
      </c>
      <c r="AD64" s="69">
        <f t="shared" si="9"/>
        <v>556</v>
      </c>
      <c r="AE64" s="70">
        <f t="shared" si="10"/>
        <v>0</v>
      </c>
      <c r="AF64" s="71">
        <f t="shared" si="37"/>
        <v>1236.9821428571431</v>
      </c>
      <c r="AG64" s="71">
        <f t="shared" si="12"/>
        <v>12938.482142857143</v>
      </c>
    </row>
    <row r="65" spans="1:35" x14ac:dyDescent="0.2">
      <c r="A65" s="74" t="s">
        <v>603</v>
      </c>
      <c r="B65" s="75" t="e">
        <f>#REF!+1</f>
        <v>#REF!</v>
      </c>
      <c r="C65" s="75" t="s">
        <v>370</v>
      </c>
      <c r="D65" s="97" t="s">
        <v>50</v>
      </c>
      <c r="E65" s="97" t="s">
        <v>234</v>
      </c>
      <c r="F65" s="76">
        <v>42794</v>
      </c>
      <c r="G65" s="133"/>
      <c r="H65" s="133"/>
      <c r="I65" s="75">
        <v>29</v>
      </c>
      <c r="J65" s="68">
        <f t="shared" si="0"/>
        <v>5178.5714285714294</v>
      </c>
      <c r="K65" s="68">
        <f t="shared" si="1"/>
        <v>0</v>
      </c>
      <c r="L65" s="68">
        <f t="shared" si="2"/>
        <v>258.9285714285715</v>
      </c>
      <c r="M65" s="68"/>
      <c r="N65" s="68">
        <f t="shared" si="15"/>
        <v>828.57142857142867</v>
      </c>
      <c r="O65" s="68"/>
      <c r="P65" s="68">
        <f>((1950+1441-178+1017+1018+0)/I$3)*I65</f>
        <v>5435.4285714285706</v>
      </c>
      <c r="Q65" s="68"/>
      <c r="R65" s="68">
        <v>0</v>
      </c>
      <c r="S65" s="68">
        <v>0</v>
      </c>
      <c r="T65" s="68">
        <f t="shared" si="31"/>
        <v>11701.5</v>
      </c>
      <c r="U65" s="69">
        <f t="shared" si="4"/>
        <v>621.42857142857144</v>
      </c>
      <c r="V65" s="69">
        <f t="shared" si="14"/>
        <v>205</v>
      </c>
      <c r="W65" s="68">
        <v>0</v>
      </c>
      <c r="X65" s="68">
        <v>0</v>
      </c>
      <c r="Y65" s="68">
        <f t="shared" si="36"/>
        <v>826.42857142857144</v>
      </c>
      <c r="Z65" s="68">
        <f t="shared" si="6"/>
        <v>10875.071428571429</v>
      </c>
      <c r="AA65" s="68">
        <v>0</v>
      </c>
      <c r="AB65" s="68">
        <f t="shared" si="7"/>
        <v>10875.071428571429</v>
      </c>
      <c r="AC65" s="69">
        <f t="shared" si="8"/>
        <v>680.982142857143</v>
      </c>
      <c r="AD65" s="69">
        <f t="shared" si="9"/>
        <v>556</v>
      </c>
      <c r="AE65" s="70">
        <f t="shared" si="10"/>
        <v>0</v>
      </c>
      <c r="AF65" s="71">
        <f t="shared" si="37"/>
        <v>1236.9821428571431</v>
      </c>
      <c r="AG65" s="71">
        <f t="shared" si="12"/>
        <v>12938.482142857143</v>
      </c>
    </row>
    <row r="66" spans="1:35" x14ac:dyDescent="0.2">
      <c r="A66" s="74" t="s">
        <v>604</v>
      </c>
      <c r="B66" s="75" t="e">
        <f t="shared" si="13"/>
        <v>#REF!</v>
      </c>
      <c r="C66" s="75" t="s">
        <v>371</v>
      </c>
      <c r="D66" s="97" t="s">
        <v>50</v>
      </c>
      <c r="E66" s="97" t="s">
        <v>234</v>
      </c>
      <c r="F66" s="76">
        <v>42795</v>
      </c>
      <c r="G66" s="133"/>
      <c r="H66" s="133"/>
      <c r="I66" s="75">
        <v>28</v>
      </c>
      <c r="J66" s="68">
        <f t="shared" si="0"/>
        <v>5000</v>
      </c>
      <c r="K66" s="68">
        <f t="shared" si="1"/>
        <v>0</v>
      </c>
      <c r="L66" s="68">
        <f t="shared" si="2"/>
        <v>250</v>
      </c>
      <c r="M66" s="68"/>
      <c r="N66" s="68">
        <f t="shared" si="15"/>
        <v>800</v>
      </c>
      <c r="O66" s="68"/>
      <c r="P66" s="68">
        <f>((1950+1441-178+1017+1018+1069)/I$3)*I66</f>
        <v>6317</v>
      </c>
      <c r="Q66" s="68"/>
      <c r="R66" s="68">
        <v>0</v>
      </c>
      <c r="S66" s="68">
        <v>0</v>
      </c>
      <c r="T66" s="68">
        <f t="shared" si="31"/>
        <v>12367</v>
      </c>
      <c r="U66" s="69">
        <f t="shared" si="4"/>
        <v>600</v>
      </c>
      <c r="V66" s="69">
        <f t="shared" si="14"/>
        <v>217</v>
      </c>
      <c r="W66" s="68">
        <v>0</v>
      </c>
      <c r="X66" s="68">
        <v>0</v>
      </c>
      <c r="Y66" s="68">
        <f t="shared" si="36"/>
        <v>817</v>
      </c>
      <c r="Z66" s="68">
        <f t="shared" si="6"/>
        <v>11550</v>
      </c>
      <c r="AA66" s="68">
        <v>0</v>
      </c>
      <c r="AB66" s="68">
        <f t="shared" si="7"/>
        <v>11550</v>
      </c>
      <c r="AC66" s="69">
        <f t="shared" si="8"/>
        <v>657.5</v>
      </c>
      <c r="AD66" s="69">
        <f t="shared" si="9"/>
        <v>588</v>
      </c>
      <c r="AE66" s="70">
        <f t="shared" si="10"/>
        <v>0</v>
      </c>
      <c r="AF66" s="71">
        <f t="shared" si="37"/>
        <v>1245.5</v>
      </c>
      <c r="AG66" s="71">
        <f t="shared" si="12"/>
        <v>13612.5</v>
      </c>
    </row>
    <row r="67" spans="1:35" x14ac:dyDescent="0.2">
      <c r="A67" s="74" t="s">
        <v>613</v>
      </c>
      <c r="B67" s="75" t="e">
        <f t="shared" si="13"/>
        <v>#REF!</v>
      </c>
      <c r="C67" s="75" t="s">
        <v>379</v>
      </c>
      <c r="D67" s="97" t="s">
        <v>50</v>
      </c>
      <c r="E67" s="97" t="s">
        <v>242</v>
      </c>
      <c r="F67" s="76">
        <v>42796</v>
      </c>
      <c r="G67" s="133"/>
      <c r="H67" s="133"/>
      <c r="I67" s="75">
        <v>32</v>
      </c>
      <c r="J67" s="68">
        <f t="shared" ref="J67:J128" si="38">(5000/I$3)*I67</f>
        <v>5714.2857142857147</v>
      </c>
      <c r="K67" s="68">
        <f t="shared" ref="K67:K128" si="39">((0)/I$3)*I67</f>
        <v>0</v>
      </c>
      <c r="L67" s="68">
        <f t="shared" si="2"/>
        <v>285.71428571428572</v>
      </c>
      <c r="M67" s="68"/>
      <c r="N67" s="68">
        <f t="shared" si="15"/>
        <v>914.28571428571433</v>
      </c>
      <c r="O67" s="68"/>
      <c r="P67" s="68">
        <f>((1950+1441-178+1017+0)/I$3)*I67</f>
        <v>4834.2857142857147</v>
      </c>
      <c r="Q67" s="68"/>
      <c r="R67" s="68">
        <v>0</v>
      </c>
      <c r="S67" s="68">
        <v>0</v>
      </c>
      <c r="T67" s="68">
        <f t="shared" si="31"/>
        <v>11748.571428571429</v>
      </c>
      <c r="U67" s="69">
        <f t="shared" si="4"/>
        <v>685.71428571428578</v>
      </c>
      <c r="V67" s="69">
        <f t="shared" si="14"/>
        <v>206</v>
      </c>
      <c r="W67" s="68">
        <v>0</v>
      </c>
      <c r="X67" s="68">
        <v>0</v>
      </c>
      <c r="Y67" s="68">
        <f t="shared" si="36"/>
        <v>891.71428571428578</v>
      </c>
      <c r="Z67" s="68">
        <f t="shared" ref="Z67:Z128" si="40">T67-Y67</f>
        <v>10856.857142857143</v>
      </c>
      <c r="AA67" s="68">
        <v>0</v>
      </c>
      <c r="AB67" s="68">
        <f t="shared" ref="AB67:AB128" si="41">Z67-AA67</f>
        <v>10856.857142857143</v>
      </c>
      <c r="AC67" s="69">
        <f t="shared" si="8"/>
        <v>751.42857142857156</v>
      </c>
      <c r="AD67" s="69">
        <f t="shared" ref="AD67:AD128" si="42">CEILING((T67)*4.75%,1)</f>
        <v>559</v>
      </c>
      <c r="AE67" s="70">
        <f t="shared" ref="AE67:AE128" si="43">X67*3</f>
        <v>0</v>
      </c>
      <c r="AF67" s="71">
        <f t="shared" si="37"/>
        <v>1310.4285714285716</v>
      </c>
      <c r="AG67" s="71">
        <f t="shared" ref="AG67:AG128" si="44">T67+AF67</f>
        <v>13059</v>
      </c>
    </row>
    <row r="68" spans="1:35" x14ac:dyDescent="0.2">
      <c r="A68" s="74" t="s">
        <v>615</v>
      </c>
      <c r="B68" s="75" t="e">
        <f t="shared" ref="B68:B129" si="45">B67+1</f>
        <v>#REF!</v>
      </c>
      <c r="C68" s="75" t="s">
        <v>381</v>
      </c>
      <c r="D68" s="97" t="s">
        <v>50</v>
      </c>
      <c r="E68" s="97" t="s">
        <v>238</v>
      </c>
      <c r="F68" s="76">
        <v>42797</v>
      </c>
      <c r="G68" s="133"/>
      <c r="H68" s="133"/>
      <c r="I68" s="75">
        <v>26</v>
      </c>
      <c r="J68" s="68">
        <f t="shared" si="38"/>
        <v>4642.8571428571431</v>
      </c>
      <c r="K68" s="68">
        <f t="shared" si="39"/>
        <v>0</v>
      </c>
      <c r="L68" s="68">
        <f t="shared" si="2"/>
        <v>232.14285714285717</v>
      </c>
      <c r="M68" s="68"/>
      <c r="N68" s="68">
        <f t="shared" si="15"/>
        <v>742.85714285714289</v>
      </c>
      <c r="O68" s="68"/>
      <c r="P68" s="68">
        <f>((1950+1441-178+1017+1018)/I$3)*I68</f>
        <v>4873.1428571428569</v>
      </c>
      <c r="Q68" s="68"/>
      <c r="R68" s="68">
        <v>0</v>
      </c>
      <c r="S68" s="68">
        <v>0</v>
      </c>
      <c r="T68" s="68">
        <f t="shared" si="31"/>
        <v>10491</v>
      </c>
      <c r="U68" s="69">
        <f t="shared" si="4"/>
        <v>557.14285714285711</v>
      </c>
      <c r="V68" s="69">
        <f t="shared" ref="V68:V129" si="46">ROUNDUP((T68*1.75%),0)</f>
        <v>184</v>
      </c>
      <c r="W68" s="68">
        <v>0</v>
      </c>
      <c r="X68" s="68">
        <v>0</v>
      </c>
      <c r="Y68" s="68">
        <f t="shared" si="36"/>
        <v>741.14285714285711</v>
      </c>
      <c r="Z68" s="68">
        <f t="shared" si="40"/>
        <v>9749.8571428571431</v>
      </c>
      <c r="AA68" s="68">
        <v>0</v>
      </c>
      <c r="AB68" s="68">
        <f t="shared" si="41"/>
        <v>9749.8571428571431</v>
      </c>
      <c r="AC68" s="69">
        <f t="shared" si="8"/>
        <v>610.53571428571433</v>
      </c>
      <c r="AD68" s="69">
        <f t="shared" si="42"/>
        <v>499</v>
      </c>
      <c r="AE68" s="70">
        <f t="shared" si="43"/>
        <v>0</v>
      </c>
      <c r="AF68" s="71">
        <f t="shared" si="37"/>
        <v>1109.5357142857142</v>
      </c>
      <c r="AG68" s="71">
        <f t="shared" si="44"/>
        <v>11600.535714285714</v>
      </c>
    </row>
    <row r="69" spans="1:35" x14ac:dyDescent="0.2">
      <c r="A69" s="74" t="s">
        <v>616</v>
      </c>
      <c r="B69" s="75" t="e">
        <f t="shared" si="45"/>
        <v>#REF!</v>
      </c>
      <c r="C69" s="75" t="s">
        <v>382</v>
      </c>
      <c r="D69" s="97" t="s">
        <v>50</v>
      </c>
      <c r="E69" s="97" t="s">
        <v>484</v>
      </c>
      <c r="F69" s="76">
        <v>42798</v>
      </c>
      <c r="G69" s="133"/>
      <c r="H69" s="133"/>
      <c r="I69" s="75">
        <v>25</v>
      </c>
      <c r="J69" s="68">
        <f t="shared" si="38"/>
        <v>4464.2857142857147</v>
      </c>
      <c r="K69" s="68">
        <f t="shared" si="39"/>
        <v>0</v>
      </c>
      <c r="L69" s="68">
        <f t="shared" si="2"/>
        <v>223.21428571428575</v>
      </c>
      <c r="M69" s="68"/>
      <c r="N69" s="68">
        <f t="shared" si="15"/>
        <v>714.28571428571433</v>
      </c>
      <c r="O69" s="68"/>
      <c r="P69" s="68">
        <f>((1950+1441-178+1017+0)/I$3)*I69</f>
        <v>3776.7857142857147</v>
      </c>
      <c r="Q69" s="68"/>
      <c r="R69" s="68">
        <v>0</v>
      </c>
      <c r="S69" s="68">
        <v>0</v>
      </c>
      <c r="T69" s="68">
        <f t="shared" si="31"/>
        <v>9178.5714285714294</v>
      </c>
      <c r="U69" s="69">
        <f t="shared" si="4"/>
        <v>535.71428571428578</v>
      </c>
      <c r="V69" s="69">
        <f t="shared" si="46"/>
        <v>161</v>
      </c>
      <c r="W69" s="68">
        <v>0</v>
      </c>
      <c r="X69" s="68">
        <v>0</v>
      </c>
      <c r="Y69" s="68">
        <f t="shared" si="36"/>
        <v>696.71428571428578</v>
      </c>
      <c r="Z69" s="68">
        <f t="shared" si="40"/>
        <v>8481.8571428571431</v>
      </c>
      <c r="AA69" s="68">
        <v>0</v>
      </c>
      <c r="AB69" s="68">
        <f t="shared" si="41"/>
        <v>8481.8571428571431</v>
      </c>
      <c r="AC69" s="69">
        <f t="shared" si="8"/>
        <v>587.05357142857156</v>
      </c>
      <c r="AD69" s="69">
        <f t="shared" si="42"/>
        <v>436</v>
      </c>
      <c r="AE69" s="70">
        <f t="shared" si="43"/>
        <v>0</v>
      </c>
      <c r="AF69" s="71">
        <f t="shared" si="37"/>
        <v>1023.0535714285716</v>
      </c>
      <c r="AG69" s="71">
        <f t="shared" si="44"/>
        <v>10201.625</v>
      </c>
    </row>
    <row r="70" spans="1:35" s="59" customFormat="1" x14ac:dyDescent="0.2">
      <c r="A70" s="74" t="s">
        <v>620</v>
      </c>
      <c r="B70" s="75" t="e">
        <f t="shared" si="45"/>
        <v>#REF!</v>
      </c>
      <c r="C70" s="75" t="s">
        <v>354</v>
      </c>
      <c r="D70" s="97" t="s">
        <v>50</v>
      </c>
      <c r="E70" s="97" t="s">
        <v>581</v>
      </c>
      <c r="F70" s="76">
        <v>42799</v>
      </c>
      <c r="G70" s="133"/>
      <c r="H70" s="133"/>
      <c r="I70" s="75">
        <v>23</v>
      </c>
      <c r="J70" s="101">
        <f t="shared" si="38"/>
        <v>4107.1428571428578</v>
      </c>
      <c r="K70" s="101">
        <f t="shared" si="39"/>
        <v>0</v>
      </c>
      <c r="L70" s="101">
        <f t="shared" ref="L70:L133" si="47">(J70+K70)*5%</f>
        <v>205.35714285714289</v>
      </c>
      <c r="M70" s="101"/>
      <c r="N70" s="101">
        <f t="shared" si="15"/>
        <v>657.14285714285722</v>
      </c>
      <c r="O70" s="101"/>
      <c r="P70" s="101">
        <f>((1950+1441+4137+2333)/I$3)*I70</f>
        <v>8100.1071428571431</v>
      </c>
      <c r="Q70" s="101"/>
      <c r="R70" s="101">
        <v>0</v>
      </c>
      <c r="S70" s="101">
        <v>0</v>
      </c>
      <c r="T70" s="101">
        <f t="shared" ref="T70:T86" si="48">SUM(J70:S70)</f>
        <v>13069.75</v>
      </c>
      <c r="U70" s="102">
        <f t="shared" ref="U70:U133" si="49">(J70+K70)*12%</f>
        <v>492.85714285714289</v>
      </c>
      <c r="V70" s="102">
        <f t="shared" si="46"/>
        <v>229</v>
      </c>
      <c r="W70" s="101">
        <v>0</v>
      </c>
      <c r="X70" s="101">
        <v>0</v>
      </c>
      <c r="Y70" s="101">
        <f t="shared" si="36"/>
        <v>721.85714285714289</v>
      </c>
      <c r="Z70" s="101">
        <f t="shared" si="40"/>
        <v>12347.892857142857</v>
      </c>
      <c r="AA70" s="101">
        <v>0</v>
      </c>
      <c r="AB70" s="101">
        <f t="shared" si="41"/>
        <v>12347.892857142857</v>
      </c>
      <c r="AC70" s="102">
        <f t="shared" ref="AC70:AC133" si="50">(J70+K70)*13.15%</f>
        <v>540.08928571428578</v>
      </c>
      <c r="AD70" s="102">
        <f t="shared" si="42"/>
        <v>621</v>
      </c>
      <c r="AE70" s="103">
        <f t="shared" si="43"/>
        <v>0</v>
      </c>
      <c r="AF70" s="104">
        <f t="shared" si="37"/>
        <v>1161.0892857142858</v>
      </c>
      <c r="AG70" s="104">
        <f t="shared" si="44"/>
        <v>14230.839285714286</v>
      </c>
      <c r="AH70" s="106"/>
      <c r="AI70" s="106"/>
    </row>
    <row r="71" spans="1:35" x14ac:dyDescent="0.2">
      <c r="A71" s="74" t="s">
        <v>627</v>
      </c>
      <c r="B71" s="75" t="e">
        <f t="shared" si="45"/>
        <v>#REF!</v>
      </c>
      <c r="C71" s="75" t="s">
        <v>391</v>
      </c>
      <c r="D71" s="97" t="s">
        <v>50</v>
      </c>
      <c r="E71" s="97" t="s">
        <v>232</v>
      </c>
      <c r="F71" s="76">
        <v>42800</v>
      </c>
      <c r="G71" s="133"/>
      <c r="H71" s="133"/>
      <c r="I71" s="75">
        <v>19</v>
      </c>
      <c r="J71" s="68">
        <f t="shared" si="38"/>
        <v>3392.8571428571431</v>
      </c>
      <c r="K71" s="68">
        <f t="shared" si="39"/>
        <v>0</v>
      </c>
      <c r="L71" s="68">
        <f t="shared" si="47"/>
        <v>169.64285714285717</v>
      </c>
      <c r="M71" s="68"/>
      <c r="N71" s="68">
        <f t="shared" si="15"/>
        <v>542.85714285714289</v>
      </c>
      <c r="O71" s="68"/>
      <c r="P71" s="68">
        <f>((1950+1441-178+1017+0)/I$3)*I71</f>
        <v>2870.3571428571431</v>
      </c>
      <c r="Q71" s="68"/>
      <c r="R71" s="68">
        <v>0</v>
      </c>
      <c r="S71" s="68">
        <v>0</v>
      </c>
      <c r="T71" s="68">
        <f t="shared" si="48"/>
        <v>6975.7142857142862</v>
      </c>
      <c r="U71" s="69">
        <f t="shared" si="49"/>
        <v>407.14285714285717</v>
      </c>
      <c r="V71" s="69">
        <f t="shared" si="46"/>
        <v>123</v>
      </c>
      <c r="W71" s="68">
        <v>0</v>
      </c>
      <c r="X71" s="68">
        <v>0</v>
      </c>
      <c r="Y71" s="68">
        <f t="shared" si="36"/>
        <v>530.14285714285711</v>
      </c>
      <c r="Z71" s="68">
        <f t="shared" si="40"/>
        <v>6445.5714285714294</v>
      </c>
      <c r="AA71" s="68">
        <v>0</v>
      </c>
      <c r="AB71" s="68">
        <f t="shared" si="41"/>
        <v>6445.5714285714294</v>
      </c>
      <c r="AC71" s="69">
        <f t="shared" si="50"/>
        <v>446.16071428571433</v>
      </c>
      <c r="AD71" s="69">
        <f t="shared" si="42"/>
        <v>332</v>
      </c>
      <c r="AE71" s="70">
        <f t="shared" si="43"/>
        <v>0</v>
      </c>
      <c r="AF71" s="71">
        <f t="shared" si="37"/>
        <v>778.16071428571433</v>
      </c>
      <c r="AG71" s="71">
        <f t="shared" si="44"/>
        <v>7753.8750000000009</v>
      </c>
    </row>
    <row r="72" spans="1:35" x14ac:dyDescent="0.2">
      <c r="A72" s="74" t="s">
        <v>628</v>
      </c>
      <c r="B72" s="75" t="e">
        <f t="shared" si="45"/>
        <v>#REF!</v>
      </c>
      <c r="C72" s="75" t="s">
        <v>393</v>
      </c>
      <c r="D72" s="97" t="s">
        <v>50</v>
      </c>
      <c r="E72" s="97" t="s">
        <v>232</v>
      </c>
      <c r="F72" s="76">
        <v>42801</v>
      </c>
      <c r="G72" s="133"/>
      <c r="H72" s="133"/>
      <c r="I72" s="75">
        <v>31</v>
      </c>
      <c r="J72" s="68">
        <f t="shared" si="38"/>
        <v>5535.7142857142862</v>
      </c>
      <c r="K72" s="68">
        <f t="shared" si="39"/>
        <v>0</v>
      </c>
      <c r="L72" s="68">
        <f t="shared" si="47"/>
        <v>276.78571428571433</v>
      </c>
      <c r="M72" s="68"/>
      <c r="N72" s="68">
        <f t="shared" ref="N72:N135" si="51">((800)/I$3)*I72</f>
        <v>885.71428571428578</v>
      </c>
      <c r="O72" s="68"/>
      <c r="P72" s="68">
        <f>((1950+1441-178+1017+0)/I$3)*I72</f>
        <v>4683.2142857142862</v>
      </c>
      <c r="Q72" s="68"/>
      <c r="R72" s="68">
        <v>0</v>
      </c>
      <c r="S72" s="68">
        <v>0</v>
      </c>
      <c r="T72" s="68">
        <f t="shared" si="48"/>
        <v>11381.428571428572</v>
      </c>
      <c r="U72" s="69">
        <f t="shared" si="49"/>
        <v>664.28571428571433</v>
      </c>
      <c r="V72" s="69">
        <f t="shared" si="46"/>
        <v>200</v>
      </c>
      <c r="W72" s="68">
        <v>0</v>
      </c>
      <c r="X72" s="68">
        <v>0</v>
      </c>
      <c r="Y72" s="68">
        <f t="shared" si="36"/>
        <v>864.28571428571433</v>
      </c>
      <c r="Z72" s="68">
        <f t="shared" si="40"/>
        <v>10517.142857142859</v>
      </c>
      <c r="AA72" s="68">
        <v>0</v>
      </c>
      <c r="AB72" s="68">
        <f t="shared" si="41"/>
        <v>10517.142857142859</v>
      </c>
      <c r="AC72" s="69">
        <f t="shared" si="50"/>
        <v>727.94642857142867</v>
      </c>
      <c r="AD72" s="69">
        <f t="shared" si="42"/>
        <v>541</v>
      </c>
      <c r="AE72" s="70">
        <f t="shared" si="43"/>
        <v>0</v>
      </c>
      <c r="AF72" s="71">
        <f t="shared" si="37"/>
        <v>1268.9464285714287</v>
      </c>
      <c r="AG72" s="71">
        <f t="shared" si="44"/>
        <v>12650.375000000002</v>
      </c>
    </row>
    <row r="73" spans="1:35" x14ac:dyDescent="0.2">
      <c r="A73" s="74" t="s">
        <v>629</v>
      </c>
      <c r="B73" s="75" t="e">
        <f t="shared" si="45"/>
        <v>#REF!</v>
      </c>
      <c r="C73" s="75" t="s">
        <v>394</v>
      </c>
      <c r="D73" s="97" t="s">
        <v>50</v>
      </c>
      <c r="E73" s="97" t="s">
        <v>484</v>
      </c>
      <c r="F73" s="76">
        <v>42802</v>
      </c>
      <c r="G73" s="133"/>
      <c r="H73" s="133"/>
      <c r="I73" s="75">
        <v>32</v>
      </c>
      <c r="J73" s="68">
        <f t="shared" si="38"/>
        <v>5714.2857142857147</v>
      </c>
      <c r="K73" s="68">
        <f t="shared" si="39"/>
        <v>0</v>
      </c>
      <c r="L73" s="68">
        <f t="shared" si="47"/>
        <v>285.71428571428572</v>
      </c>
      <c r="M73" s="68"/>
      <c r="N73" s="68">
        <f t="shared" si="51"/>
        <v>914.28571428571433</v>
      </c>
      <c r="O73" s="68"/>
      <c r="P73" s="68">
        <f>((1950+1441-178+1017+0)/I$3)*I73</f>
        <v>4834.2857142857147</v>
      </c>
      <c r="Q73" s="68"/>
      <c r="R73" s="68">
        <v>0</v>
      </c>
      <c r="S73" s="68">
        <v>0</v>
      </c>
      <c r="T73" s="68">
        <f t="shared" si="48"/>
        <v>11748.571428571429</v>
      </c>
      <c r="U73" s="69">
        <f t="shared" si="49"/>
        <v>685.71428571428578</v>
      </c>
      <c r="V73" s="69">
        <f t="shared" si="46"/>
        <v>206</v>
      </c>
      <c r="W73" s="68">
        <v>0</v>
      </c>
      <c r="X73" s="68">
        <v>0</v>
      </c>
      <c r="Y73" s="68">
        <f t="shared" si="36"/>
        <v>891.71428571428578</v>
      </c>
      <c r="Z73" s="68">
        <f t="shared" si="40"/>
        <v>10856.857142857143</v>
      </c>
      <c r="AA73" s="68">
        <v>0</v>
      </c>
      <c r="AB73" s="68">
        <f t="shared" si="41"/>
        <v>10856.857142857143</v>
      </c>
      <c r="AC73" s="69">
        <f t="shared" si="50"/>
        <v>751.42857142857156</v>
      </c>
      <c r="AD73" s="69">
        <f t="shared" si="42"/>
        <v>559</v>
      </c>
      <c r="AE73" s="70">
        <f t="shared" si="43"/>
        <v>0</v>
      </c>
      <c r="AF73" s="71">
        <f t="shared" si="37"/>
        <v>1310.4285714285716</v>
      </c>
      <c r="AG73" s="71">
        <f t="shared" si="44"/>
        <v>13059</v>
      </c>
    </row>
    <row r="74" spans="1:35" x14ac:dyDescent="0.2">
      <c r="A74" s="74" t="s">
        <v>630</v>
      </c>
      <c r="B74" s="75" t="e">
        <f t="shared" si="45"/>
        <v>#REF!</v>
      </c>
      <c r="C74" s="75" t="s">
        <v>395</v>
      </c>
      <c r="D74" s="97" t="s">
        <v>50</v>
      </c>
      <c r="E74" s="97" t="s">
        <v>234</v>
      </c>
      <c r="F74" s="76">
        <v>42803</v>
      </c>
      <c r="G74" s="133"/>
      <c r="H74" s="133"/>
      <c r="I74" s="75">
        <v>22</v>
      </c>
      <c r="J74" s="68">
        <f t="shared" si="38"/>
        <v>3928.5714285714289</v>
      </c>
      <c r="K74" s="68">
        <f t="shared" si="39"/>
        <v>0</v>
      </c>
      <c r="L74" s="68">
        <f t="shared" si="47"/>
        <v>196.42857142857144</v>
      </c>
      <c r="M74" s="68"/>
      <c r="N74" s="68">
        <f t="shared" si="51"/>
        <v>628.57142857142856</v>
      </c>
      <c r="O74" s="68"/>
      <c r="P74" s="68">
        <f>((1950+1441-178+1017+1018+0)/I$3)*I74</f>
        <v>4123.4285714285716</v>
      </c>
      <c r="Q74" s="68"/>
      <c r="R74" s="68">
        <v>0</v>
      </c>
      <c r="S74" s="68">
        <v>0</v>
      </c>
      <c r="T74" s="68">
        <f t="shared" si="48"/>
        <v>8877</v>
      </c>
      <c r="U74" s="69">
        <f t="shared" si="49"/>
        <v>471.42857142857144</v>
      </c>
      <c r="V74" s="69">
        <f t="shared" si="46"/>
        <v>156</v>
      </c>
      <c r="W74" s="68">
        <v>0</v>
      </c>
      <c r="X74" s="68">
        <v>0</v>
      </c>
      <c r="Y74" s="68">
        <f t="shared" si="36"/>
        <v>627.42857142857144</v>
      </c>
      <c r="Z74" s="68">
        <f t="shared" si="40"/>
        <v>8249.5714285714294</v>
      </c>
      <c r="AA74" s="68">
        <v>0</v>
      </c>
      <c r="AB74" s="68">
        <f t="shared" si="41"/>
        <v>8249.5714285714294</v>
      </c>
      <c r="AC74" s="69">
        <f t="shared" si="50"/>
        <v>516.60714285714289</v>
      </c>
      <c r="AD74" s="69">
        <f t="shared" si="42"/>
        <v>422</v>
      </c>
      <c r="AE74" s="70">
        <f t="shared" si="43"/>
        <v>0</v>
      </c>
      <c r="AF74" s="71">
        <f t="shared" si="37"/>
        <v>938.60714285714289</v>
      </c>
      <c r="AG74" s="71">
        <f t="shared" si="44"/>
        <v>9815.6071428571431</v>
      </c>
    </row>
    <row r="75" spans="1:35" x14ac:dyDescent="0.2">
      <c r="A75" s="74" t="s">
        <v>631</v>
      </c>
      <c r="B75" s="75" t="e">
        <f t="shared" si="45"/>
        <v>#REF!</v>
      </c>
      <c r="C75" s="75" t="s">
        <v>705</v>
      </c>
      <c r="D75" s="97" t="s">
        <v>50</v>
      </c>
      <c r="E75" s="97" t="s">
        <v>238</v>
      </c>
      <c r="F75" s="76">
        <v>42804</v>
      </c>
      <c r="G75" s="133"/>
      <c r="H75" s="133"/>
      <c r="I75" s="75">
        <v>30</v>
      </c>
      <c r="J75" s="68">
        <f t="shared" si="38"/>
        <v>5357.1428571428578</v>
      </c>
      <c r="K75" s="68">
        <f t="shared" si="39"/>
        <v>0</v>
      </c>
      <c r="L75" s="68">
        <f t="shared" si="47"/>
        <v>267.85714285714289</v>
      </c>
      <c r="M75" s="68"/>
      <c r="N75" s="68">
        <f t="shared" si="51"/>
        <v>857.14285714285722</v>
      </c>
      <c r="O75" s="68"/>
      <c r="P75" s="68">
        <f>((1950+1441-178+1017+1018)/I$3)*I75</f>
        <v>5622.8571428571422</v>
      </c>
      <c r="Q75" s="68"/>
      <c r="R75" s="68">
        <v>0</v>
      </c>
      <c r="S75" s="68">
        <v>0</v>
      </c>
      <c r="T75" s="68">
        <f t="shared" si="48"/>
        <v>12105</v>
      </c>
      <c r="U75" s="69">
        <f t="shared" si="49"/>
        <v>642.85714285714289</v>
      </c>
      <c r="V75" s="69">
        <f t="shared" si="46"/>
        <v>212</v>
      </c>
      <c r="W75" s="68">
        <v>0</v>
      </c>
      <c r="X75" s="68">
        <v>0</v>
      </c>
      <c r="Y75" s="68">
        <f t="shared" si="36"/>
        <v>854.85714285714289</v>
      </c>
      <c r="Z75" s="68">
        <f t="shared" si="40"/>
        <v>11250.142857142857</v>
      </c>
      <c r="AA75" s="68">
        <v>0</v>
      </c>
      <c r="AB75" s="68">
        <f t="shared" si="41"/>
        <v>11250.142857142857</v>
      </c>
      <c r="AC75" s="69">
        <f t="shared" si="50"/>
        <v>704.46428571428578</v>
      </c>
      <c r="AD75" s="69">
        <f t="shared" si="42"/>
        <v>575</v>
      </c>
      <c r="AE75" s="70">
        <f t="shared" si="43"/>
        <v>0</v>
      </c>
      <c r="AF75" s="71">
        <f t="shared" si="37"/>
        <v>1279.4642857142858</v>
      </c>
      <c r="AG75" s="71">
        <f t="shared" si="44"/>
        <v>13384.464285714286</v>
      </c>
    </row>
    <row r="76" spans="1:35" x14ac:dyDescent="0.2">
      <c r="A76" s="74" t="s">
        <v>637</v>
      </c>
      <c r="B76" s="75" t="e">
        <f t="shared" si="45"/>
        <v>#REF!</v>
      </c>
      <c r="C76" s="75" t="s">
        <v>402</v>
      </c>
      <c r="D76" s="97" t="s">
        <v>50</v>
      </c>
      <c r="E76" s="97" t="s">
        <v>234</v>
      </c>
      <c r="F76" s="76">
        <v>42805</v>
      </c>
      <c r="G76" s="133"/>
      <c r="H76" s="133"/>
      <c r="I76" s="75">
        <v>28</v>
      </c>
      <c r="J76" s="68">
        <f t="shared" si="38"/>
        <v>5000</v>
      </c>
      <c r="K76" s="68">
        <f t="shared" si="39"/>
        <v>0</v>
      </c>
      <c r="L76" s="68">
        <f t="shared" si="47"/>
        <v>250</v>
      </c>
      <c r="M76" s="68"/>
      <c r="N76" s="68">
        <f t="shared" si="51"/>
        <v>800</v>
      </c>
      <c r="O76" s="68"/>
      <c r="P76" s="68">
        <f>((1950+1441-178+1017+1018+0)/I$3)*I76</f>
        <v>5248</v>
      </c>
      <c r="Q76" s="68"/>
      <c r="R76" s="68">
        <v>0</v>
      </c>
      <c r="S76" s="68">
        <v>0</v>
      </c>
      <c r="T76" s="68">
        <f t="shared" si="48"/>
        <v>11298</v>
      </c>
      <c r="U76" s="69">
        <f t="shared" si="49"/>
        <v>600</v>
      </c>
      <c r="V76" s="69">
        <f t="shared" si="46"/>
        <v>198</v>
      </c>
      <c r="W76" s="68">
        <v>0</v>
      </c>
      <c r="X76" s="68">
        <v>0</v>
      </c>
      <c r="Y76" s="68">
        <f t="shared" si="36"/>
        <v>798</v>
      </c>
      <c r="Z76" s="68">
        <f t="shared" si="40"/>
        <v>10500</v>
      </c>
      <c r="AA76" s="68">
        <v>0</v>
      </c>
      <c r="AB76" s="68">
        <f t="shared" si="41"/>
        <v>10500</v>
      </c>
      <c r="AC76" s="69">
        <f t="shared" si="50"/>
        <v>657.5</v>
      </c>
      <c r="AD76" s="69">
        <f t="shared" si="42"/>
        <v>537</v>
      </c>
      <c r="AE76" s="70">
        <f t="shared" si="43"/>
        <v>0</v>
      </c>
      <c r="AF76" s="71">
        <f t="shared" si="37"/>
        <v>1194.5</v>
      </c>
      <c r="AG76" s="71">
        <f t="shared" si="44"/>
        <v>12492.5</v>
      </c>
    </row>
    <row r="77" spans="1:35" x14ac:dyDescent="0.2">
      <c r="A77" s="74" t="s">
        <v>638</v>
      </c>
      <c r="B77" s="75" t="e">
        <f t="shared" si="45"/>
        <v>#REF!</v>
      </c>
      <c r="C77" s="75" t="s">
        <v>403</v>
      </c>
      <c r="D77" s="97" t="s">
        <v>50</v>
      </c>
      <c r="E77" s="97" t="s">
        <v>484</v>
      </c>
      <c r="F77" s="76">
        <v>42806</v>
      </c>
      <c r="G77" s="133"/>
      <c r="H77" s="133"/>
      <c r="I77" s="75">
        <v>31</v>
      </c>
      <c r="J77" s="68">
        <f t="shared" si="38"/>
        <v>5535.7142857142862</v>
      </c>
      <c r="K77" s="68">
        <f t="shared" si="39"/>
        <v>0</v>
      </c>
      <c r="L77" s="68">
        <f t="shared" si="47"/>
        <v>276.78571428571433</v>
      </c>
      <c r="M77" s="68"/>
      <c r="N77" s="68">
        <f t="shared" si="51"/>
        <v>885.71428571428578</v>
      </c>
      <c r="O77" s="68"/>
      <c r="P77" s="68">
        <f>((1950+1441-178+1017+0)/I$3)*I77</f>
        <v>4683.2142857142862</v>
      </c>
      <c r="Q77" s="68"/>
      <c r="R77" s="68">
        <v>0</v>
      </c>
      <c r="S77" s="68">
        <v>0</v>
      </c>
      <c r="T77" s="68">
        <f t="shared" si="48"/>
        <v>11381.428571428572</v>
      </c>
      <c r="U77" s="69">
        <f t="shared" si="49"/>
        <v>664.28571428571433</v>
      </c>
      <c r="V77" s="69">
        <f t="shared" si="46"/>
        <v>200</v>
      </c>
      <c r="W77" s="68">
        <v>0</v>
      </c>
      <c r="X77" s="68">
        <v>0</v>
      </c>
      <c r="Y77" s="68">
        <f t="shared" si="36"/>
        <v>864.28571428571433</v>
      </c>
      <c r="Z77" s="68">
        <f t="shared" si="40"/>
        <v>10517.142857142859</v>
      </c>
      <c r="AA77" s="68">
        <v>0</v>
      </c>
      <c r="AB77" s="68">
        <f t="shared" si="41"/>
        <v>10517.142857142859</v>
      </c>
      <c r="AC77" s="69">
        <f t="shared" si="50"/>
        <v>727.94642857142867</v>
      </c>
      <c r="AD77" s="69">
        <f t="shared" si="42"/>
        <v>541</v>
      </c>
      <c r="AE77" s="70">
        <f t="shared" si="43"/>
        <v>0</v>
      </c>
      <c r="AF77" s="71">
        <f t="shared" si="37"/>
        <v>1268.9464285714287</v>
      </c>
      <c r="AG77" s="71">
        <f t="shared" si="44"/>
        <v>12650.375000000002</v>
      </c>
    </row>
    <row r="78" spans="1:35" x14ac:dyDescent="0.2">
      <c r="A78" s="74" t="s">
        <v>644</v>
      </c>
      <c r="B78" s="75" t="e">
        <f>#REF!+1</f>
        <v>#REF!</v>
      </c>
      <c r="C78" s="75" t="s">
        <v>409</v>
      </c>
      <c r="D78" s="97" t="s">
        <v>50</v>
      </c>
      <c r="E78" s="97" t="s">
        <v>234</v>
      </c>
      <c r="F78" s="76">
        <v>42807</v>
      </c>
      <c r="G78" s="133"/>
      <c r="H78" s="133"/>
      <c r="I78" s="75">
        <v>29</v>
      </c>
      <c r="J78" s="68">
        <f t="shared" si="38"/>
        <v>5178.5714285714294</v>
      </c>
      <c r="K78" s="68">
        <f t="shared" si="39"/>
        <v>0</v>
      </c>
      <c r="L78" s="68">
        <f t="shared" si="47"/>
        <v>258.9285714285715</v>
      </c>
      <c r="M78" s="68"/>
      <c r="N78" s="68">
        <f t="shared" si="51"/>
        <v>828.57142857142867</v>
      </c>
      <c r="O78" s="68"/>
      <c r="P78" s="68">
        <f>((1950+1441-178+1017+1018+0)/I$3)*I78</f>
        <v>5435.4285714285706</v>
      </c>
      <c r="Q78" s="68"/>
      <c r="R78" s="68">
        <v>0</v>
      </c>
      <c r="S78" s="68">
        <v>0</v>
      </c>
      <c r="T78" s="68">
        <f t="shared" si="48"/>
        <v>11701.5</v>
      </c>
      <c r="U78" s="69">
        <f t="shared" si="49"/>
        <v>621.42857142857144</v>
      </c>
      <c r="V78" s="69">
        <f t="shared" si="46"/>
        <v>205</v>
      </c>
      <c r="W78" s="68">
        <v>0</v>
      </c>
      <c r="X78" s="68">
        <v>0</v>
      </c>
      <c r="Y78" s="68">
        <f t="shared" si="36"/>
        <v>826.42857142857144</v>
      </c>
      <c r="Z78" s="68">
        <f t="shared" si="40"/>
        <v>10875.071428571429</v>
      </c>
      <c r="AA78" s="68">
        <v>0</v>
      </c>
      <c r="AB78" s="68">
        <f t="shared" si="41"/>
        <v>10875.071428571429</v>
      </c>
      <c r="AC78" s="69">
        <f t="shared" si="50"/>
        <v>680.982142857143</v>
      </c>
      <c r="AD78" s="69">
        <f t="shared" si="42"/>
        <v>556</v>
      </c>
      <c r="AE78" s="70">
        <f t="shared" si="43"/>
        <v>0</v>
      </c>
      <c r="AF78" s="71">
        <f t="shared" si="37"/>
        <v>1236.9821428571431</v>
      </c>
      <c r="AG78" s="71">
        <f t="shared" si="44"/>
        <v>12938.482142857143</v>
      </c>
    </row>
    <row r="79" spans="1:35" x14ac:dyDescent="0.2">
      <c r="A79" s="74" t="s">
        <v>801</v>
      </c>
      <c r="B79" s="75" t="e">
        <f t="shared" si="45"/>
        <v>#REF!</v>
      </c>
      <c r="C79" s="75" t="s">
        <v>495</v>
      </c>
      <c r="D79" s="97" t="s">
        <v>50</v>
      </c>
      <c r="E79" s="97" t="s">
        <v>581</v>
      </c>
      <c r="F79" s="76">
        <v>42808</v>
      </c>
      <c r="G79" s="133"/>
      <c r="H79" s="133"/>
      <c r="I79" s="75">
        <v>27</v>
      </c>
      <c r="J79" s="68">
        <f t="shared" si="38"/>
        <v>4821.4285714285716</v>
      </c>
      <c r="K79" s="68">
        <f t="shared" si="39"/>
        <v>0</v>
      </c>
      <c r="L79" s="68">
        <f t="shared" si="47"/>
        <v>241.07142857142858</v>
      </c>
      <c r="M79" s="68"/>
      <c r="N79" s="68">
        <f t="shared" si="51"/>
        <v>771.42857142857144</v>
      </c>
      <c r="O79" s="68"/>
      <c r="P79" s="68">
        <f>((1950+1441-178+1017+0)/I$3)*I79</f>
        <v>4078.9285714285716</v>
      </c>
      <c r="Q79" s="68"/>
      <c r="R79" s="68">
        <v>0</v>
      </c>
      <c r="S79" s="68">
        <v>0</v>
      </c>
      <c r="T79" s="68">
        <f t="shared" si="48"/>
        <v>9912.8571428571431</v>
      </c>
      <c r="U79" s="69">
        <f t="shared" si="49"/>
        <v>578.57142857142856</v>
      </c>
      <c r="V79" s="69">
        <f t="shared" si="46"/>
        <v>174</v>
      </c>
      <c r="W79" s="68">
        <v>0</v>
      </c>
      <c r="X79" s="68">
        <v>0</v>
      </c>
      <c r="Y79" s="68">
        <f t="shared" si="36"/>
        <v>752.57142857142856</v>
      </c>
      <c r="Z79" s="68">
        <f t="shared" si="40"/>
        <v>9160.2857142857138</v>
      </c>
      <c r="AA79" s="68">
        <v>0</v>
      </c>
      <c r="AB79" s="68">
        <f t="shared" si="41"/>
        <v>9160.2857142857138</v>
      </c>
      <c r="AC79" s="69">
        <f t="shared" si="50"/>
        <v>634.01785714285722</v>
      </c>
      <c r="AD79" s="69">
        <f t="shared" si="42"/>
        <v>471</v>
      </c>
      <c r="AE79" s="70">
        <f t="shared" si="43"/>
        <v>0</v>
      </c>
      <c r="AF79" s="71">
        <f t="shared" si="37"/>
        <v>1105.0178571428573</v>
      </c>
      <c r="AG79" s="71">
        <f t="shared" si="44"/>
        <v>11017.875</v>
      </c>
    </row>
    <row r="80" spans="1:35" x14ac:dyDescent="0.2">
      <c r="A80" s="74" t="s">
        <v>582</v>
      </c>
      <c r="B80" s="75" t="e">
        <f t="shared" si="45"/>
        <v>#REF!</v>
      </c>
      <c r="C80" s="75" t="s">
        <v>63</v>
      </c>
      <c r="D80" s="97" t="s">
        <v>50</v>
      </c>
      <c r="E80" s="97" t="s">
        <v>581</v>
      </c>
      <c r="F80" s="76">
        <v>42809</v>
      </c>
      <c r="G80" s="133"/>
      <c r="H80" s="133"/>
      <c r="I80" s="75">
        <v>30</v>
      </c>
      <c r="J80" s="68">
        <f t="shared" si="38"/>
        <v>5357.1428571428578</v>
      </c>
      <c r="K80" s="68">
        <f t="shared" si="39"/>
        <v>0</v>
      </c>
      <c r="L80" s="68">
        <f t="shared" si="47"/>
        <v>267.85714285714289</v>
      </c>
      <c r="M80" s="68"/>
      <c r="N80" s="68">
        <f t="shared" si="51"/>
        <v>857.14285714285722</v>
      </c>
      <c r="O80" s="68"/>
      <c r="P80" s="68">
        <f>((1950+1441-178+1017+0)/I$3)*I80</f>
        <v>4532.1428571428578</v>
      </c>
      <c r="Q80" s="68"/>
      <c r="R80" s="68">
        <v>0</v>
      </c>
      <c r="S80" s="68">
        <v>0</v>
      </c>
      <c r="T80" s="68">
        <f t="shared" si="48"/>
        <v>11014.285714285716</v>
      </c>
      <c r="U80" s="69">
        <f t="shared" si="49"/>
        <v>642.85714285714289</v>
      </c>
      <c r="V80" s="69">
        <f t="shared" si="46"/>
        <v>193</v>
      </c>
      <c r="W80" s="68">
        <v>0</v>
      </c>
      <c r="X80" s="68">
        <v>0</v>
      </c>
      <c r="Y80" s="68">
        <f t="shared" si="36"/>
        <v>835.85714285714289</v>
      </c>
      <c r="Z80" s="68">
        <f t="shared" si="40"/>
        <v>10178.428571428572</v>
      </c>
      <c r="AA80" s="68">
        <v>0</v>
      </c>
      <c r="AB80" s="68">
        <f t="shared" si="41"/>
        <v>10178.428571428572</v>
      </c>
      <c r="AC80" s="69">
        <f t="shared" si="50"/>
        <v>704.46428571428578</v>
      </c>
      <c r="AD80" s="69">
        <f t="shared" si="42"/>
        <v>524</v>
      </c>
      <c r="AE80" s="70">
        <f t="shared" si="43"/>
        <v>0</v>
      </c>
      <c r="AF80" s="71">
        <f t="shared" si="37"/>
        <v>1228.4642857142858</v>
      </c>
      <c r="AG80" s="71">
        <f t="shared" si="44"/>
        <v>12242.750000000002</v>
      </c>
    </row>
    <row r="81" spans="1:33" x14ac:dyDescent="0.2">
      <c r="A81" s="74" t="s">
        <v>806</v>
      </c>
      <c r="B81" s="75" t="e">
        <f>#REF!+1</f>
        <v>#REF!</v>
      </c>
      <c r="C81" s="75" t="s">
        <v>512</v>
      </c>
      <c r="D81" s="97" t="s">
        <v>50</v>
      </c>
      <c r="E81" s="97" t="s">
        <v>234</v>
      </c>
      <c r="F81" s="76">
        <v>42810</v>
      </c>
      <c r="G81" s="133"/>
      <c r="H81" s="133"/>
      <c r="I81" s="75">
        <v>24</v>
      </c>
      <c r="J81" s="68">
        <f t="shared" si="38"/>
        <v>4285.7142857142862</v>
      </c>
      <c r="K81" s="68">
        <f t="shared" si="39"/>
        <v>0</v>
      </c>
      <c r="L81" s="68">
        <f t="shared" si="47"/>
        <v>214.28571428571433</v>
      </c>
      <c r="M81" s="68"/>
      <c r="N81" s="68">
        <f t="shared" si="51"/>
        <v>685.71428571428578</v>
      </c>
      <c r="O81" s="68"/>
      <c r="P81" s="68">
        <f>((1950+1441-178+1017+1018+0)/I$3)*I81</f>
        <v>4498.2857142857138</v>
      </c>
      <c r="Q81" s="68"/>
      <c r="R81" s="68">
        <v>0</v>
      </c>
      <c r="S81" s="68">
        <v>0</v>
      </c>
      <c r="T81" s="68">
        <f t="shared" si="48"/>
        <v>9684</v>
      </c>
      <c r="U81" s="69">
        <f t="shared" si="49"/>
        <v>514.28571428571433</v>
      </c>
      <c r="V81" s="69">
        <f t="shared" si="46"/>
        <v>170</v>
      </c>
      <c r="W81" s="68">
        <v>0</v>
      </c>
      <c r="X81" s="68">
        <v>0</v>
      </c>
      <c r="Y81" s="68">
        <f t="shared" si="36"/>
        <v>684.28571428571433</v>
      </c>
      <c r="Z81" s="68">
        <f t="shared" si="40"/>
        <v>8999.7142857142862</v>
      </c>
      <c r="AA81" s="68">
        <v>0</v>
      </c>
      <c r="AB81" s="68">
        <f t="shared" si="41"/>
        <v>8999.7142857142862</v>
      </c>
      <c r="AC81" s="69">
        <f t="shared" si="50"/>
        <v>563.57142857142867</v>
      </c>
      <c r="AD81" s="69">
        <f t="shared" si="42"/>
        <v>460</v>
      </c>
      <c r="AE81" s="70">
        <f t="shared" si="43"/>
        <v>0</v>
      </c>
      <c r="AF81" s="71">
        <f t="shared" si="37"/>
        <v>1023.5714285714287</v>
      </c>
      <c r="AG81" s="71">
        <f t="shared" si="44"/>
        <v>10707.571428571429</v>
      </c>
    </row>
    <row r="82" spans="1:33" x14ac:dyDescent="0.2">
      <c r="A82" s="74" t="s">
        <v>807</v>
      </c>
      <c r="B82" s="75" t="e">
        <f t="shared" si="45"/>
        <v>#REF!</v>
      </c>
      <c r="C82" s="75" t="s">
        <v>519</v>
      </c>
      <c r="D82" s="97" t="s">
        <v>50</v>
      </c>
      <c r="E82" s="97" t="s">
        <v>234</v>
      </c>
      <c r="F82" s="76">
        <v>42811</v>
      </c>
      <c r="G82" s="133"/>
      <c r="H82" s="133"/>
      <c r="I82" s="75">
        <v>28</v>
      </c>
      <c r="J82" s="68">
        <f t="shared" si="38"/>
        <v>5000</v>
      </c>
      <c r="K82" s="68">
        <f t="shared" si="39"/>
        <v>0</v>
      </c>
      <c r="L82" s="68">
        <f t="shared" si="47"/>
        <v>250</v>
      </c>
      <c r="M82" s="68"/>
      <c r="N82" s="68">
        <f t="shared" si="51"/>
        <v>800</v>
      </c>
      <c r="O82" s="68"/>
      <c r="P82" s="68">
        <f>((1950+1441-178+1017+1018+0)/I$3)*I82</f>
        <v>5248</v>
      </c>
      <c r="Q82" s="68"/>
      <c r="R82" s="68">
        <v>0</v>
      </c>
      <c r="S82" s="68">
        <v>0</v>
      </c>
      <c r="T82" s="68">
        <f t="shared" si="48"/>
        <v>11298</v>
      </c>
      <c r="U82" s="69">
        <f t="shared" si="49"/>
        <v>600</v>
      </c>
      <c r="V82" s="69">
        <f t="shared" si="46"/>
        <v>198</v>
      </c>
      <c r="W82" s="68">
        <v>0</v>
      </c>
      <c r="X82" s="68">
        <v>0</v>
      </c>
      <c r="Y82" s="68">
        <f t="shared" si="36"/>
        <v>798</v>
      </c>
      <c r="Z82" s="68">
        <f t="shared" si="40"/>
        <v>10500</v>
      </c>
      <c r="AA82" s="68">
        <v>0</v>
      </c>
      <c r="AB82" s="68">
        <f t="shared" si="41"/>
        <v>10500</v>
      </c>
      <c r="AC82" s="69">
        <f t="shared" si="50"/>
        <v>657.5</v>
      </c>
      <c r="AD82" s="69">
        <f t="shared" si="42"/>
        <v>537</v>
      </c>
      <c r="AE82" s="70">
        <f t="shared" si="43"/>
        <v>0</v>
      </c>
      <c r="AF82" s="71">
        <f t="shared" si="37"/>
        <v>1194.5</v>
      </c>
      <c r="AG82" s="71">
        <f t="shared" si="44"/>
        <v>12492.5</v>
      </c>
    </row>
    <row r="83" spans="1:33" x14ac:dyDescent="0.2">
      <c r="A83" s="74" t="s">
        <v>808</v>
      </c>
      <c r="B83" s="75" t="e">
        <f t="shared" si="45"/>
        <v>#REF!</v>
      </c>
      <c r="C83" s="75" t="s">
        <v>492</v>
      </c>
      <c r="D83" s="97" t="s">
        <v>50</v>
      </c>
      <c r="E83" s="97" t="s">
        <v>234</v>
      </c>
      <c r="F83" s="76">
        <v>42812</v>
      </c>
      <c r="G83" s="133"/>
      <c r="H83" s="133"/>
      <c r="I83" s="75">
        <v>27</v>
      </c>
      <c r="J83" s="68">
        <f t="shared" si="38"/>
        <v>4821.4285714285716</v>
      </c>
      <c r="K83" s="68">
        <f t="shared" si="39"/>
        <v>0</v>
      </c>
      <c r="L83" s="68">
        <f t="shared" si="47"/>
        <v>241.07142857142858</v>
      </c>
      <c r="M83" s="68"/>
      <c r="N83" s="68">
        <f t="shared" si="51"/>
        <v>771.42857142857144</v>
      </c>
      <c r="O83" s="68"/>
      <c r="P83" s="68">
        <f>((1950+1441-178+1017+1018+0)/I$3)*I83</f>
        <v>5060.5714285714284</v>
      </c>
      <c r="Q83" s="68"/>
      <c r="R83" s="68">
        <v>0</v>
      </c>
      <c r="S83" s="68">
        <v>0</v>
      </c>
      <c r="T83" s="68">
        <f t="shared" si="48"/>
        <v>10894.5</v>
      </c>
      <c r="U83" s="69">
        <f t="shared" si="49"/>
        <v>578.57142857142856</v>
      </c>
      <c r="V83" s="69">
        <f t="shared" si="46"/>
        <v>191</v>
      </c>
      <c r="W83" s="68">
        <v>0</v>
      </c>
      <c r="X83" s="68">
        <v>0</v>
      </c>
      <c r="Y83" s="68">
        <f t="shared" si="36"/>
        <v>769.57142857142856</v>
      </c>
      <c r="Z83" s="68">
        <f t="shared" si="40"/>
        <v>10124.928571428571</v>
      </c>
      <c r="AA83" s="68">
        <v>0</v>
      </c>
      <c r="AB83" s="68">
        <f t="shared" si="41"/>
        <v>10124.928571428571</v>
      </c>
      <c r="AC83" s="69">
        <f t="shared" si="50"/>
        <v>634.01785714285722</v>
      </c>
      <c r="AD83" s="69">
        <f t="shared" si="42"/>
        <v>518</v>
      </c>
      <c r="AE83" s="70">
        <f t="shared" si="43"/>
        <v>0</v>
      </c>
      <c r="AF83" s="71">
        <f t="shared" si="37"/>
        <v>1152.0178571428573</v>
      </c>
      <c r="AG83" s="71">
        <f t="shared" si="44"/>
        <v>12046.517857142857</v>
      </c>
    </row>
    <row r="84" spans="1:33" x14ac:dyDescent="0.2">
      <c r="A84" s="74" t="s">
        <v>809</v>
      </c>
      <c r="B84" s="75" t="e">
        <f t="shared" si="45"/>
        <v>#REF!</v>
      </c>
      <c r="C84" s="75" t="s">
        <v>712</v>
      </c>
      <c r="D84" s="97" t="s">
        <v>50</v>
      </c>
      <c r="E84" s="97" t="s">
        <v>234</v>
      </c>
      <c r="F84" s="76">
        <v>42813</v>
      </c>
      <c r="G84" s="133"/>
      <c r="H84" s="133"/>
      <c r="I84" s="75">
        <v>25</v>
      </c>
      <c r="J84" s="68">
        <f t="shared" si="38"/>
        <v>4464.2857142857147</v>
      </c>
      <c r="K84" s="68">
        <f t="shared" si="39"/>
        <v>0</v>
      </c>
      <c r="L84" s="68">
        <f t="shared" si="47"/>
        <v>223.21428571428575</v>
      </c>
      <c r="M84" s="68"/>
      <c r="N84" s="68">
        <f t="shared" si="51"/>
        <v>714.28571428571433</v>
      </c>
      <c r="O84" s="68"/>
      <c r="P84" s="68">
        <f>((1950+1441-178+1017+1018+0)/I$3)*I84</f>
        <v>4685.7142857142853</v>
      </c>
      <c r="Q84" s="68"/>
      <c r="R84" s="68">
        <v>0</v>
      </c>
      <c r="S84" s="68">
        <v>0</v>
      </c>
      <c r="T84" s="68">
        <f t="shared" si="48"/>
        <v>10087.5</v>
      </c>
      <c r="U84" s="69">
        <f t="shared" si="49"/>
        <v>535.71428571428578</v>
      </c>
      <c r="V84" s="69">
        <f t="shared" si="46"/>
        <v>177</v>
      </c>
      <c r="W84" s="68">
        <v>0</v>
      </c>
      <c r="X84" s="68">
        <v>0</v>
      </c>
      <c r="Y84" s="68">
        <f t="shared" si="36"/>
        <v>712.71428571428578</v>
      </c>
      <c r="Z84" s="68">
        <f t="shared" si="40"/>
        <v>9374.7857142857138</v>
      </c>
      <c r="AA84" s="68">
        <v>0</v>
      </c>
      <c r="AB84" s="68">
        <f t="shared" si="41"/>
        <v>9374.7857142857138</v>
      </c>
      <c r="AC84" s="69">
        <f t="shared" si="50"/>
        <v>587.05357142857156</v>
      </c>
      <c r="AD84" s="69">
        <f t="shared" si="42"/>
        <v>480</v>
      </c>
      <c r="AE84" s="70">
        <f t="shared" si="43"/>
        <v>0</v>
      </c>
      <c r="AF84" s="71">
        <f t="shared" si="37"/>
        <v>1067.0535714285716</v>
      </c>
      <c r="AG84" s="71">
        <f t="shared" si="44"/>
        <v>11154.553571428572</v>
      </c>
    </row>
    <row r="85" spans="1:33" x14ac:dyDescent="0.2">
      <c r="A85" s="74" t="s">
        <v>812</v>
      </c>
      <c r="B85" s="75" t="e">
        <f t="shared" si="45"/>
        <v>#REF!</v>
      </c>
      <c r="C85" s="75" t="s">
        <v>535</v>
      </c>
      <c r="D85" s="97" t="s">
        <v>50</v>
      </c>
      <c r="E85" s="97" t="s">
        <v>234</v>
      </c>
      <c r="F85" s="76">
        <v>42814</v>
      </c>
      <c r="G85" s="133"/>
      <c r="H85" s="133"/>
      <c r="I85" s="75">
        <v>30</v>
      </c>
      <c r="J85" s="68">
        <f t="shared" si="38"/>
        <v>5357.1428571428578</v>
      </c>
      <c r="K85" s="68">
        <f t="shared" si="39"/>
        <v>0</v>
      </c>
      <c r="L85" s="68">
        <f t="shared" si="47"/>
        <v>267.85714285714289</v>
      </c>
      <c r="M85" s="68"/>
      <c r="N85" s="68">
        <f t="shared" si="51"/>
        <v>857.14285714285722</v>
      </c>
      <c r="O85" s="68"/>
      <c r="P85" s="68">
        <f>((1950+1441-178+1017+1018+0)/I$3)*I85</f>
        <v>5622.8571428571422</v>
      </c>
      <c r="Q85" s="68"/>
      <c r="R85" s="68">
        <v>0</v>
      </c>
      <c r="S85" s="68">
        <v>0</v>
      </c>
      <c r="T85" s="68">
        <f t="shared" si="48"/>
        <v>12105</v>
      </c>
      <c r="U85" s="69">
        <f t="shared" si="49"/>
        <v>642.85714285714289</v>
      </c>
      <c r="V85" s="69">
        <f t="shared" si="46"/>
        <v>212</v>
      </c>
      <c r="W85" s="68">
        <v>0</v>
      </c>
      <c r="X85" s="68">
        <v>0</v>
      </c>
      <c r="Y85" s="68">
        <f t="shared" si="36"/>
        <v>854.85714285714289</v>
      </c>
      <c r="Z85" s="68">
        <f t="shared" si="40"/>
        <v>11250.142857142857</v>
      </c>
      <c r="AA85" s="68">
        <v>0</v>
      </c>
      <c r="AB85" s="68">
        <f t="shared" si="41"/>
        <v>11250.142857142857</v>
      </c>
      <c r="AC85" s="69">
        <f t="shared" si="50"/>
        <v>704.46428571428578</v>
      </c>
      <c r="AD85" s="69">
        <f t="shared" si="42"/>
        <v>575</v>
      </c>
      <c r="AE85" s="70">
        <f t="shared" si="43"/>
        <v>0</v>
      </c>
      <c r="AF85" s="71">
        <f t="shared" si="37"/>
        <v>1279.4642857142858</v>
      </c>
      <c r="AG85" s="71">
        <f t="shared" si="44"/>
        <v>13384.464285714286</v>
      </c>
    </row>
    <row r="86" spans="1:33" x14ac:dyDescent="0.2">
      <c r="A86" s="74" t="s">
        <v>817</v>
      </c>
      <c r="B86" s="75" t="e">
        <f t="shared" si="45"/>
        <v>#REF!</v>
      </c>
      <c r="C86" s="75" t="s">
        <v>703</v>
      </c>
      <c r="D86" s="97" t="s">
        <v>50</v>
      </c>
      <c r="E86" s="97" t="s">
        <v>238</v>
      </c>
      <c r="F86" s="76">
        <v>42815</v>
      </c>
      <c r="G86" s="133"/>
      <c r="H86" s="133"/>
      <c r="I86" s="75">
        <v>30</v>
      </c>
      <c r="J86" s="68">
        <f t="shared" si="38"/>
        <v>5357.1428571428578</v>
      </c>
      <c r="K86" s="68">
        <f t="shared" si="39"/>
        <v>0</v>
      </c>
      <c r="L86" s="68">
        <f t="shared" si="47"/>
        <v>267.85714285714289</v>
      </c>
      <c r="M86" s="68"/>
      <c r="N86" s="68">
        <f t="shared" si="51"/>
        <v>857.14285714285722</v>
      </c>
      <c r="O86" s="68"/>
      <c r="P86" s="68">
        <f>((1950+1441-178+1017+1018+1069)/I$3)*I86</f>
        <v>6768.2142857142862</v>
      </c>
      <c r="Q86" s="68"/>
      <c r="R86" s="68">
        <v>0</v>
      </c>
      <c r="S86" s="68">
        <v>0</v>
      </c>
      <c r="T86" s="68">
        <f t="shared" si="48"/>
        <v>13250.357142857145</v>
      </c>
      <c r="U86" s="69">
        <f t="shared" si="49"/>
        <v>642.85714285714289</v>
      </c>
      <c r="V86" s="69">
        <f t="shared" si="46"/>
        <v>232</v>
      </c>
      <c r="W86" s="68">
        <v>0</v>
      </c>
      <c r="X86" s="68">
        <v>0</v>
      </c>
      <c r="Y86" s="68">
        <f t="shared" si="36"/>
        <v>874.85714285714289</v>
      </c>
      <c r="Z86" s="68">
        <f t="shared" si="40"/>
        <v>12375.500000000002</v>
      </c>
      <c r="AA86" s="68">
        <v>0</v>
      </c>
      <c r="AB86" s="68">
        <f t="shared" si="41"/>
        <v>12375.500000000002</v>
      </c>
      <c r="AC86" s="69">
        <f t="shared" si="50"/>
        <v>704.46428571428578</v>
      </c>
      <c r="AD86" s="69">
        <f t="shared" si="42"/>
        <v>630</v>
      </c>
      <c r="AE86" s="70">
        <f t="shared" si="43"/>
        <v>0</v>
      </c>
      <c r="AF86" s="71">
        <f t="shared" ref="AF86:AF105" si="52">SUM(AC86:AE86)</f>
        <v>1334.4642857142858</v>
      </c>
      <c r="AG86" s="71">
        <f t="shared" si="44"/>
        <v>14584.821428571431</v>
      </c>
    </row>
    <row r="87" spans="1:33" s="62" customFormat="1" x14ac:dyDescent="0.2">
      <c r="A87" s="135" t="s">
        <v>623</v>
      </c>
      <c r="B87" s="134">
        <v>1</v>
      </c>
      <c r="C87" s="134" t="s">
        <v>387</v>
      </c>
      <c r="D87" s="136" t="s">
        <v>50</v>
      </c>
      <c r="E87" s="136" t="s">
        <v>707</v>
      </c>
      <c r="F87" s="76">
        <v>42816</v>
      </c>
      <c r="G87" s="137"/>
      <c r="H87" s="137"/>
      <c r="I87" s="134">
        <v>24</v>
      </c>
      <c r="J87" s="101">
        <f t="shared" si="38"/>
        <v>4285.7142857142862</v>
      </c>
      <c r="K87" s="101">
        <f t="shared" si="39"/>
        <v>0</v>
      </c>
      <c r="L87" s="101">
        <f t="shared" si="47"/>
        <v>214.28571428571433</v>
      </c>
      <c r="M87" s="101"/>
      <c r="N87" s="101">
        <f t="shared" si="51"/>
        <v>685.71428571428578</v>
      </c>
      <c r="O87" s="101"/>
      <c r="P87" s="101">
        <f>((1950+1441-178+1017+0)/I$3)*I87</f>
        <v>3625.7142857142862</v>
      </c>
      <c r="Q87" s="101">
        <v>0</v>
      </c>
      <c r="R87" s="101"/>
      <c r="S87" s="72"/>
      <c r="T87" s="101">
        <f t="shared" ref="T87:T94" si="53">SUM(J87:R87)</f>
        <v>8811.4285714285725</v>
      </c>
      <c r="U87" s="102">
        <f t="shared" si="49"/>
        <v>514.28571428571433</v>
      </c>
      <c r="V87" s="102">
        <f t="shared" ref="V87:V94" si="54">ROUNDUP((T87*1.75%),0)</f>
        <v>155</v>
      </c>
      <c r="W87" s="101">
        <v>0</v>
      </c>
      <c r="X87" s="101">
        <v>0</v>
      </c>
      <c r="Y87" s="101">
        <f t="shared" ref="Y87:Y94" si="55">SUM(U87:X87)</f>
        <v>669.28571428571433</v>
      </c>
      <c r="Z87" s="101">
        <f t="shared" ref="Z87:Z94" si="56">T87-Y87</f>
        <v>8142.1428571428578</v>
      </c>
      <c r="AA87" s="101"/>
      <c r="AB87" s="101">
        <f t="shared" ref="AB87:AB94" si="57">Z87-AA87</f>
        <v>8142.1428571428578</v>
      </c>
      <c r="AC87" s="102">
        <f t="shared" si="50"/>
        <v>563.57142857142867</v>
      </c>
      <c r="AD87" s="102">
        <f t="shared" ref="AD87:AD94" si="58">CEILING((T87)*4.75%,1)</f>
        <v>419</v>
      </c>
      <c r="AE87" s="103">
        <f t="shared" ref="AE87:AE94" si="59">X87*3</f>
        <v>0</v>
      </c>
      <c r="AF87" s="104">
        <f t="shared" ref="AF87:AF94" si="60">SUM(AC87:AE87)</f>
        <v>982.57142857142867</v>
      </c>
      <c r="AG87" s="104">
        <f t="shared" ref="AG87:AG94" si="61">T87+AF87</f>
        <v>9794.0000000000018</v>
      </c>
    </row>
    <row r="88" spans="1:33" s="62" customFormat="1" x14ac:dyDescent="0.2">
      <c r="A88" s="135" t="s">
        <v>634</v>
      </c>
      <c r="B88" s="134">
        <f t="shared" ref="B88:B94" si="62">B87+1</f>
        <v>2</v>
      </c>
      <c r="C88" s="134" t="s">
        <v>399</v>
      </c>
      <c r="D88" s="136" t="s">
        <v>50</v>
      </c>
      <c r="E88" s="136" t="s">
        <v>707</v>
      </c>
      <c r="F88" s="76">
        <v>42817</v>
      </c>
      <c r="G88" s="137"/>
      <c r="H88" s="137"/>
      <c r="I88" s="134">
        <v>16</v>
      </c>
      <c r="J88" s="101">
        <f t="shared" si="38"/>
        <v>2857.1428571428573</v>
      </c>
      <c r="K88" s="101">
        <f t="shared" si="39"/>
        <v>0</v>
      </c>
      <c r="L88" s="101">
        <f t="shared" si="47"/>
        <v>142.85714285714286</v>
      </c>
      <c r="M88" s="101"/>
      <c r="N88" s="101">
        <f t="shared" si="51"/>
        <v>457.14285714285717</v>
      </c>
      <c r="O88" s="101"/>
      <c r="P88" s="101">
        <f>((1950+1441-178+1017+0)/I$3)*I88</f>
        <v>2417.1428571428573</v>
      </c>
      <c r="Q88" s="101">
        <v>0</v>
      </c>
      <c r="R88" s="101"/>
      <c r="S88" s="72"/>
      <c r="T88" s="101">
        <f t="shared" si="53"/>
        <v>5874.2857142857147</v>
      </c>
      <c r="U88" s="102">
        <f t="shared" si="49"/>
        <v>342.85714285714289</v>
      </c>
      <c r="V88" s="102">
        <f t="shared" si="54"/>
        <v>103</v>
      </c>
      <c r="W88" s="101">
        <v>0</v>
      </c>
      <c r="X88" s="101">
        <v>0</v>
      </c>
      <c r="Y88" s="101">
        <f t="shared" si="55"/>
        <v>445.85714285714289</v>
      </c>
      <c r="Z88" s="101">
        <f t="shared" si="56"/>
        <v>5428.4285714285716</v>
      </c>
      <c r="AA88" s="101"/>
      <c r="AB88" s="101">
        <f t="shared" si="57"/>
        <v>5428.4285714285716</v>
      </c>
      <c r="AC88" s="102">
        <f t="shared" si="50"/>
        <v>375.71428571428578</v>
      </c>
      <c r="AD88" s="102">
        <f t="shared" si="58"/>
        <v>280</v>
      </c>
      <c r="AE88" s="103">
        <f t="shared" si="59"/>
        <v>0</v>
      </c>
      <c r="AF88" s="104">
        <f t="shared" si="60"/>
        <v>655.71428571428578</v>
      </c>
      <c r="AG88" s="104">
        <f t="shared" si="61"/>
        <v>6530</v>
      </c>
    </row>
    <row r="89" spans="1:33" s="62" customFormat="1" x14ac:dyDescent="0.2">
      <c r="A89" s="135" t="s">
        <v>805</v>
      </c>
      <c r="B89" s="134">
        <f t="shared" si="62"/>
        <v>3</v>
      </c>
      <c r="C89" s="134" t="s">
        <v>392</v>
      </c>
      <c r="D89" s="136" t="s">
        <v>50</v>
      </c>
      <c r="E89" s="136" t="s">
        <v>707</v>
      </c>
      <c r="F89" s="76">
        <v>42818</v>
      </c>
      <c r="G89" s="137"/>
      <c r="H89" s="137"/>
      <c r="I89" s="134">
        <v>32</v>
      </c>
      <c r="J89" s="101">
        <f t="shared" si="38"/>
        <v>5714.2857142857147</v>
      </c>
      <c r="K89" s="101">
        <f t="shared" si="39"/>
        <v>0</v>
      </c>
      <c r="L89" s="101">
        <f t="shared" si="47"/>
        <v>285.71428571428572</v>
      </c>
      <c r="M89" s="101"/>
      <c r="N89" s="101">
        <f t="shared" si="51"/>
        <v>914.28571428571433</v>
      </c>
      <c r="O89" s="101"/>
      <c r="P89" s="101">
        <f>((1950+1441-178+1017+1018+0)/I$3)*I89</f>
        <v>5997.7142857142853</v>
      </c>
      <c r="Q89" s="101">
        <v>0</v>
      </c>
      <c r="R89" s="101"/>
      <c r="S89" s="72"/>
      <c r="T89" s="101">
        <f t="shared" si="53"/>
        <v>12912</v>
      </c>
      <c r="U89" s="102">
        <f t="shared" si="49"/>
        <v>685.71428571428578</v>
      </c>
      <c r="V89" s="102">
        <f t="shared" si="54"/>
        <v>226</v>
      </c>
      <c r="W89" s="101">
        <v>0</v>
      </c>
      <c r="X89" s="101">
        <v>0</v>
      </c>
      <c r="Y89" s="101">
        <f t="shared" si="55"/>
        <v>911.71428571428578</v>
      </c>
      <c r="Z89" s="101">
        <f t="shared" si="56"/>
        <v>12000.285714285714</v>
      </c>
      <c r="AA89" s="101"/>
      <c r="AB89" s="101">
        <f t="shared" si="57"/>
        <v>12000.285714285714</v>
      </c>
      <c r="AC89" s="102">
        <f t="shared" si="50"/>
        <v>751.42857142857156</v>
      </c>
      <c r="AD89" s="102">
        <f t="shared" si="58"/>
        <v>614</v>
      </c>
      <c r="AE89" s="103">
        <f t="shared" si="59"/>
        <v>0</v>
      </c>
      <c r="AF89" s="104">
        <f t="shared" si="60"/>
        <v>1365.4285714285716</v>
      </c>
      <c r="AG89" s="104">
        <f t="shared" si="61"/>
        <v>14277.428571428572</v>
      </c>
    </row>
    <row r="90" spans="1:33" s="62" customFormat="1" x14ac:dyDescent="0.2">
      <c r="A90" s="135" t="s">
        <v>855</v>
      </c>
      <c r="B90" s="134">
        <f t="shared" si="62"/>
        <v>4</v>
      </c>
      <c r="C90" s="134" t="s">
        <v>713</v>
      </c>
      <c r="D90" s="136" t="s">
        <v>50</v>
      </c>
      <c r="E90" s="136" t="s">
        <v>707</v>
      </c>
      <c r="F90" s="76">
        <v>42819</v>
      </c>
      <c r="G90" s="137"/>
      <c r="H90" s="137"/>
      <c r="I90" s="134">
        <v>19</v>
      </c>
      <c r="J90" s="101">
        <f t="shared" si="38"/>
        <v>3392.8571428571431</v>
      </c>
      <c r="K90" s="101">
        <f t="shared" si="39"/>
        <v>0</v>
      </c>
      <c r="L90" s="101">
        <f t="shared" si="47"/>
        <v>169.64285714285717</v>
      </c>
      <c r="M90" s="101"/>
      <c r="N90" s="101">
        <f t="shared" si="51"/>
        <v>542.85714285714289</v>
      </c>
      <c r="O90" s="101"/>
      <c r="P90" s="101">
        <f>((1950+1441-178+1017+0)/I$3)*I90</f>
        <v>2870.3571428571431</v>
      </c>
      <c r="Q90" s="101">
        <v>0</v>
      </c>
      <c r="R90" s="101"/>
      <c r="S90" s="72"/>
      <c r="T90" s="101">
        <f t="shared" si="53"/>
        <v>6975.7142857142862</v>
      </c>
      <c r="U90" s="102">
        <f t="shared" si="49"/>
        <v>407.14285714285717</v>
      </c>
      <c r="V90" s="102">
        <f t="shared" si="54"/>
        <v>123</v>
      </c>
      <c r="W90" s="101">
        <v>0</v>
      </c>
      <c r="X90" s="101">
        <v>0</v>
      </c>
      <c r="Y90" s="101">
        <f t="shared" si="55"/>
        <v>530.14285714285711</v>
      </c>
      <c r="Z90" s="101">
        <f t="shared" si="56"/>
        <v>6445.5714285714294</v>
      </c>
      <c r="AA90" s="101"/>
      <c r="AB90" s="101">
        <f t="shared" si="57"/>
        <v>6445.5714285714294</v>
      </c>
      <c r="AC90" s="102">
        <f t="shared" si="50"/>
        <v>446.16071428571433</v>
      </c>
      <c r="AD90" s="102">
        <f t="shared" si="58"/>
        <v>332</v>
      </c>
      <c r="AE90" s="103">
        <f t="shared" si="59"/>
        <v>0</v>
      </c>
      <c r="AF90" s="104">
        <f t="shared" si="60"/>
        <v>778.16071428571433</v>
      </c>
      <c r="AG90" s="104">
        <f t="shared" si="61"/>
        <v>7753.8750000000009</v>
      </c>
    </row>
    <row r="91" spans="1:33" s="62" customFormat="1" x14ac:dyDescent="0.2">
      <c r="A91" s="135" t="s">
        <v>1164</v>
      </c>
      <c r="B91" s="134">
        <v>5</v>
      </c>
      <c r="C91" s="134" t="s">
        <v>403</v>
      </c>
      <c r="D91" s="136" t="s">
        <v>50</v>
      </c>
      <c r="E91" s="136" t="s">
        <v>707</v>
      </c>
      <c r="F91" s="76">
        <v>42820</v>
      </c>
      <c r="G91" s="137"/>
      <c r="H91" s="137"/>
      <c r="I91" s="134">
        <v>31</v>
      </c>
      <c r="J91" s="101">
        <f t="shared" si="38"/>
        <v>5535.7142857142862</v>
      </c>
      <c r="K91" s="101">
        <f t="shared" si="39"/>
        <v>0</v>
      </c>
      <c r="L91" s="101">
        <f t="shared" si="47"/>
        <v>276.78571428571433</v>
      </c>
      <c r="M91" s="101"/>
      <c r="N91" s="101">
        <f t="shared" si="51"/>
        <v>885.71428571428578</v>
      </c>
      <c r="O91" s="101"/>
      <c r="P91" s="101">
        <f>((4230)/I$3)*I91</f>
        <v>4683.2142857142862</v>
      </c>
      <c r="Q91" s="101">
        <v>0</v>
      </c>
      <c r="R91" s="101"/>
      <c r="S91" s="72"/>
      <c r="T91" s="101">
        <f t="shared" si="53"/>
        <v>11381.428571428572</v>
      </c>
      <c r="U91" s="102">
        <f t="shared" si="49"/>
        <v>664.28571428571433</v>
      </c>
      <c r="V91" s="102">
        <f t="shared" si="54"/>
        <v>200</v>
      </c>
      <c r="W91" s="101">
        <v>0</v>
      </c>
      <c r="X91" s="101">
        <v>0</v>
      </c>
      <c r="Y91" s="101">
        <f t="shared" si="55"/>
        <v>864.28571428571433</v>
      </c>
      <c r="Z91" s="101">
        <f t="shared" si="56"/>
        <v>10517.142857142859</v>
      </c>
      <c r="AA91" s="101"/>
      <c r="AB91" s="101">
        <f t="shared" si="57"/>
        <v>10517.142857142859</v>
      </c>
      <c r="AC91" s="102">
        <f t="shared" si="50"/>
        <v>727.94642857142867</v>
      </c>
      <c r="AD91" s="102">
        <f t="shared" si="58"/>
        <v>541</v>
      </c>
      <c r="AE91" s="103">
        <f t="shared" si="59"/>
        <v>0</v>
      </c>
      <c r="AF91" s="104">
        <f t="shared" si="60"/>
        <v>1268.9464285714287</v>
      </c>
      <c r="AG91" s="104">
        <f t="shared" si="61"/>
        <v>12650.375000000002</v>
      </c>
    </row>
    <row r="92" spans="1:33" s="62" customFormat="1" x14ac:dyDescent="0.2">
      <c r="A92" s="135" t="s">
        <v>1165</v>
      </c>
      <c r="B92" s="134">
        <f t="shared" si="62"/>
        <v>6</v>
      </c>
      <c r="C92" s="134" t="s">
        <v>976</v>
      </c>
      <c r="D92" s="136" t="s">
        <v>50</v>
      </c>
      <c r="E92" s="136" t="s">
        <v>707</v>
      </c>
      <c r="F92" s="76">
        <v>42821</v>
      </c>
      <c r="G92" s="137"/>
      <c r="H92" s="137"/>
      <c r="I92" s="134">
        <v>31</v>
      </c>
      <c r="J92" s="101">
        <f t="shared" si="38"/>
        <v>5535.7142857142862</v>
      </c>
      <c r="K92" s="101">
        <f t="shared" si="39"/>
        <v>0</v>
      </c>
      <c r="L92" s="101">
        <f t="shared" si="47"/>
        <v>276.78571428571433</v>
      </c>
      <c r="M92" s="101"/>
      <c r="N92" s="101">
        <f t="shared" si="51"/>
        <v>885.71428571428578</v>
      </c>
      <c r="O92" s="101"/>
      <c r="P92" s="101">
        <f>((4230)/I$3)*I92</f>
        <v>4683.2142857142862</v>
      </c>
      <c r="Q92" s="101">
        <v>0</v>
      </c>
      <c r="R92" s="101"/>
      <c r="S92" s="72"/>
      <c r="T92" s="101">
        <f t="shared" si="53"/>
        <v>11381.428571428572</v>
      </c>
      <c r="U92" s="102">
        <f t="shared" si="49"/>
        <v>664.28571428571433</v>
      </c>
      <c r="V92" s="102">
        <f t="shared" si="54"/>
        <v>200</v>
      </c>
      <c r="W92" s="101">
        <v>0</v>
      </c>
      <c r="X92" s="101">
        <v>0</v>
      </c>
      <c r="Y92" s="101">
        <f t="shared" si="55"/>
        <v>864.28571428571433</v>
      </c>
      <c r="Z92" s="101">
        <f t="shared" si="56"/>
        <v>10517.142857142859</v>
      </c>
      <c r="AA92" s="101"/>
      <c r="AB92" s="101">
        <f t="shared" si="57"/>
        <v>10517.142857142859</v>
      </c>
      <c r="AC92" s="102">
        <f t="shared" si="50"/>
        <v>727.94642857142867</v>
      </c>
      <c r="AD92" s="102">
        <f t="shared" si="58"/>
        <v>541</v>
      </c>
      <c r="AE92" s="103">
        <f t="shared" si="59"/>
        <v>0</v>
      </c>
      <c r="AF92" s="104">
        <f t="shared" si="60"/>
        <v>1268.9464285714287</v>
      </c>
      <c r="AG92" s="104">
        <f t="shared" si="61"/>
        <v>12650.375000000002</v>
      </c>
    </row>
    <row r="93" spans="1:33" s="62" customFormat="1" x14ac:dyDescent="0.2">
      <c r="A93" s="135" t="s">
        <v>1166</v>
      </c>
      <c r="B93" s="134">
        <f t="shared" si="62"/>
        <v>7</v>
      </c>
      <c r="C93" s="134" t="s">
        <v>978</v>
      </c>
      <c r="D93" s="136" t="s">
        <v>50</v>
      </c>
      <c r="E93" s="136" t="s">
        <v>707</v>
      </c>
      <c r="F93" s="76">
        <v>42822</v>
      </c>
      <c r="G93" s="137"/>
      <c r="H93" s="137"/>
      <c r="I93" s="134">
        <v>32</v>
      </c>
      <c r="J93" s="101">
        <f t="shared" si="38"/>
        <v>5714.2857142857147</v>
      </c>
      <c r="K93" s="101">
        <f t="shared" si="39"/>
        <v>0</v>
      </c>
      <c r="L93" s="101">
        <f t="shared" si="47"/>
        <v>285.71428571428572</v>
      </c>
      <c r="M93" s="101"/>
      <c r="N93" s="101">
        <f t="shared" si="51"/>
        <v>914.28571428571433</v>
      </c>
      <c r="O93" s="101"/>
      <c r="P93" s="101">
        <f>((4230)/I$3)*I93</f>
        <v>4834.2857142857147</v>
      </c>
      <c r="Q93" s="101">
        <v>0</v>
      </c>
      <c r="R93" s="101"/>
      <c r="S93" s="72"/>
      <c r="T93" s="101">
        <f t="shared" si="53"/>
        <v>11748.571428571429</v>
      </c>
      <c r="U93" s="102">
        <f t="shared" si="49"/>
        <v>685.71428571428578</v>
      </c>
      <c r="V93" s="102">
        <f t="shared" si="54"/>
        <v>206</v>
      </c>
      <c r="W93" s="101">
        <v>0</v>
      </c>
      <c r="X93" s="101">
        <v>0</v>
      </c>
      <c r="Y93" s="101">
        <f t="shared" si="55"/>
        <v>891.71428571428578</v>
      </c>
      <c r="Z93" s="101">
        <f t="shared" si="56"/>
        <v>10856.857142857143</v>
      </c>
      <c r="AA93" s="101"/>
      <c r="AB93" s="101">
        <f t="shared" si="57"/>
        <v>10856.857142857143</v>
      </c>
      <c r="AC93" s="102">
        <f t="shared" si="50"/>
        <v>751.42857142857156</v>
      </c>
      <c r="AD93" s="102">
        <f t="shared" si="58"/>
        <v>559</v>
      </c>
      <c r="AE93" s="103">
        <f t="shared" si="59"/>
        <v>0</v>
      </c>
      <c r="AF93" s="104">
        <f t="shared" si="60"/>
        <v>1310.4285714285716</v>
      </c>
      <c r="AG93" s="104">
        <f t="shared" si="61"/>
        <v>13059</v>
      </c>
    </row>
    <row r="94" spans="1:33" s="62" customFormat="1" x14ac:dyDescent="0.2">
      <c r="A94" s="135" t="s">
        <v>1372</v>
      </c>
      <c r="B94" s="134">
        <f t="shared" si="62"/>
        <v>8</v>
      </c>
      <c r="C94" s="134" t="s">
        <v>542</v>
      </c>
      <c r="D94" s="136" t="s">
        <v>50</v>
      </c>
      <c r="E94" s="136" t="s">
        <v>707</v>
      </c>
      <c r="F94" s="76">
        <v>42823</v>
      </c>
      <c r="G94" s="137"/>
      <c r="H94" s="137"/>
      <c r="I94" s="134">
        <v>17</v>
      </c>
      <c r="J94" s="101">
        <f t="shared" si="38"/>
        <v>3035.7142857142858</v>
      </c>
      <c r="K94" s="101">
        <f t="shared" si="39"/>
        <v>0</v>
      </c>
      <c r="L94" s="101">
        <f t="shared" si="47"/>
        <v>151.78571428571431</v>
      </c>
      <c r="M94" s="101"/>
      <c r="N94" s="101">
        <f t="shared" si="51"/>
        <v>485.71428571428572</v>
      </c>
      <c r="O94" s="101"/>
      <c r="P94" s="101">
        <f>((4230)/I$3)*I94</f>
        <v>2568.2142857142858</v>
      </c>
      <c r="Q94" s="101">
        <v>0</v>
      </c>
      <c r="R94" s="101"/>
      <c r="S94" s="72"/>
      <c r="T94" s="101">
        <f t="shared" si="53"/>
        <v>6241.4285714285716</v>
      </c>
      <c r="U94" s="102">
        <f t="shared" si="49"/>
        <v>364.28571428571428</v>
      </c>
      <c r="V94" s="102">
        <f t="shared" si="54"/>
        <v>110</v>
      </c>
      <c r="W94" s="101">
        <v>0</v>
      </c>
      <c r="X94" s="101">
        <v>0</v>
      </c>
      <c r="Y94" s="101">
        <f t="shared" si="55"/>
        <v>474.28571428571428</v>
      </c>
      <c r="Z94" s="101">
        <f t="shared" si="56"/>
        <v>5767.1428571428569</v>
      </c>
      <c r="AA94" s="101"/>
      <c r="AB94" s="101">
        <f t="shared" si="57"/>
        <v>5767.1428571428569</v>
      </c>
      <c r="AC94" s="102">
        <f t="shared" si="50"/>
        <v>399.19642857142861</v>
      </c>
      <c r="AD94" s="102">
        <f t="shared" si="58"/>
        <v>297</v>
      </c>
      <c r="AE94" s="103">
        <f t="shared" si="59"/>
        <v>0</v>
      </c>
      <c r="AF94" s="104">
        <f t="shared" si="60"/>
        <v>696.19642857142867</v>
      </c>
      <c r="AG94" s="104">
        <f t="shared" si="61"/>
        <v>6937.625</v>
      </c>
    </row>
    <row r="95" spans="1:33" x14ac:dyDescent="0.2">
      <c r="A95" s="74" t="s">
        <v>818</v>
      </c>
      <c r="B95" s="75" t="e">
        <f>B86+1</f>
        <v>#REF!</v>
      </c>
      <c r="C95" s="75" t="s">
        <v>553</v>
      </c>
      <c r="D95" s="97" t="s">
        <v>50</v>
      </c>
      <c r="E95" s="97" t="s">
        <v>484</v>
      </c>
      <c r="F95" s="76">
        <v>42824</v>
      </c>
      <c r="G95" s="133"/>
      <c r="H95" s="133"/>
      <c r="I95" s="75">
        <v>16.5</v>
      </c>
      <c r="J95" s="68">
        <f t="shared" si="38"/>
        <v>2946.4285714285716</v>
      </c>
      <c r="K95" s="68">
        <f t="shared" si="39"/>
        <v>0</v>
      </c>
      <c r="L95" s="68">
        <f t="shared" si="47"/>
        <v>147.32142857142858</v>
      </c>
      <c r="M95" s="68"/>
      <c r="N95" s="68">
        <f t="shared" si="51"/>
        <v>471.42857142857144</v>
      </c>
      <c r="O95" s="68"/>
      <c r="P95" s="68">
        <f>((1950+1441-178+1017+0)/I$3)*I95</f>
        <v>2492.6785714285716</v>
      </c>
      <c r="Q95" s="68"/>
      <c r="R95" s="68">
        <v>0</v>
      </c>
      <c r="S95" s="68">
        <v>0</v>
      </c>
      <c r="T95" s="68">
        <f t="shared" ref="T95:T126" si="63">SUM(J95:S95)</f>
        <v>6057.8571428571431</v>
      </c>
      <c r="U95" s="69">
        <f t="shared" si="49"/>
        <v>353.57142857142856</v>
      </c>
      <c r="V95" s="69">
        <f t="shared" si="46"/>
        <v>107</v>
      </c>
      <c r="W95" s="68">
        <v>0</v>
      </c>
      <c r="X95" s="68">
        <v>0</v>
      </c>
      <c r="Y95" s="68">
        <f t="shared" si="36"/>
        <v>460.57142857142856</v>
      </c>
      <c r="Z95" s="68">
        <f t="shared" si="40"/>
        <v>5597.2857142857147</v>
      </c>
      <c r="AA95" s="68">
        <v>0</v>
      </c>
      <c r="AB95" s="68">
        <f t="shared" si="41"/>
        <v>5597.2857142857147</v>
      </c>
      <c r="AC95" s="69">
        <f t="shared" si="50"/>
        <v>387.45535714285717</v>
      </c>
      <c r="AD95" s="69">
        <f t="shared" si="42"/>
        <v>288</v>
      </c>
      <c r="AE95" s="70">
        <f t="shared" si="43"/>
        <v>0</v>
      </c>
      <c r="AF95" s="71">
        <f t="shared" si="52"/>
        <v>675.45535714285711</v>
      </c>
      <c r="AG95" s="71">
        <f t="shared" si="44"/>
        <v>6733.3125</v>
      </c>
    </row>
    <row r="96" spans="1:33" x14ac:dyDescent="0.2">
      <c r="A96" s="74" t="s">
        <v>819</v>
      </c>
      <c r="B96" s="75" t="e">
        <f t="shared" si="45"/>
        <v>#REF!</v>
      </c>
      <c r="C96" s="75" t="s">
        <v>554</v>
      </c>
      <c r="D96" s="97" t="s">
        <v>50</v>
      </c>
      <c r="E96" s="97" t="s">
        <v>239</v>
      </c>
      <c r="F96" s="76">
        <v>42825</v>
      </c>
      <c r="G96" s="133"/>
      <c r="H96" s="133"/>
      <c r="I96" s="75">
        <v>31</v>
      </c>
      <c r="J96" s="68">
        <f t="shared" si="38"/>
        <v>5535.7142857142862</v>
      </c>
      <c r="K96" s="68">
        <f t="shared" si="39"/>
        <v>0</v>
      </c>
      <c r="L96" s="68">
        <f t="shared" si="47"/>
        <v>276.78571428571433</v>
      </c>
      <c r="M96" s="68"/>
      <c r="N96" s="68">
        <f t="shared" si="51"/>
        <v>885.71428571428578</v>
      </c>
      <c r="O96" s="68"/>
      <c r="P96" s="68">
        <f>((1950+1441-178+1017+0)/I$3)*I96</f>
        <v>4683.2142857142862</v>
      </c>
      <c r="Q96" s="68"/>
      <c r="R96" s="68">
        <v>0</v>
      </c>
      <c r="S96" s="68">
        <v>0</v>
      </c>
      <c r="T96" s="68">
        <f t="shared" si="63"/>
        <v>11381.428571428572</v>
      </c>
      <c r="U96" s="69">
        <f t="shared" si="49"/>
        <v>664.28571428571433</v>
      </c>
      <c r="V96" s="69">
        <f t="shared" si="46"/>
        <v>200</v>
      </c>
      <c r="W96" s="68">
        <v>0</v>
      </c>
      <c r="X96" s="68">
        <v>0</v>
      </c>
      <c r="Y96" s="68">
        <f t="shared" si="36"/>
        <v>864.28571428571433</v>
      </c>
      <c r="Z96" s="68">
        <f t="shared" si="40"/>
        <v>10517.142857142859</v>
      </c>
      <c r="AA96" s="68">
        <v>0</v>
      </c>
      <c r="AB96" s="68">
        <f t="shared" si="41"/>
        <v>10517.142857142859</v>
      </c>
      <c r="AC96" s="69">
        <f t="shared" si="50"/>
        <v>727.94642857142867</v>
      </c>
      <c r="AD96" s="69">
        <f t="shared" si="42"/>
        <v>541</v>
      </c>
      <c r="AE96" s="70">
        <f t="shared" si="43"/>
        <v>0</v>
      </c>
      <c r="AF96" s="71">
        <f t="shared" si="52"/>
        <v>1268.9464285714287</v>
      </c>
      <c r="AG96" s="71">
        <f t="shared" si="44"/>
        <v>12650.375000000002</v>
      </c>
    </row>
    <row r="97" spans="1:33" x14ac:dyDescent="0.2">
      <c r="A97" s="74" t="s">
        <v>585</v>
      </c>
      <c r="B97" s="75" t="e">
        <f t="shared" si="45"/>
        <v>#REF!</v>
      </c>
      <c r="C97" s="75" t="s">
        <v>556</v>
      </c>
      <c r="D97" s="97" t="s">
        <v>50</v>
      </c>
      <c r="E97" s="97" t="s">
        <v>484</v>
      </c>
      <c r="F97" s="76">
        <v>42826</v>
      </c>
      <c r="G97" s="133"/>
      <c r="H97" s="133"/>
      <c r="I97" s="75">
        <v>31</v>
      </c>
      <c r="J97" s="68">
        <f t="shared" si="38"/>
        <v>5535.7142857142862</v>
      </c>
      <c r="K97" s="68">
        <f t="shared" si="39"/>
        <v>0</v>
      </c>
      <c r="L97" s="68">
        <f t="shared" si="47"/>
        <v>276.78571428571433</v>
      </c>
      <c r="M97" s="68"/>
      <c r="N97" s="68">
        <f t="shared" si="51"/>
        <v>885.71428571428578</v>
      </c>
      <c r="O97" s="68"/>
      <c r="P97" s="68">
        <f>((1950+1441-178+1017+967)/I$3)*I97</f>
        <v>5753.8214285714284</v>
      </c>
      <c r="Q97" s="68"/>
      <c r="R97" s="68">
        <v>0</v>
      </c>
      <c r="S97" s="68">
        <v>0</v>
      </c>
      <c r="T97" s="68">
        <f t="shared" si="63"/>
        <v>12452.035714285714</v>
      </c>
      <c r="U97" s="69">
        <f t="shared" si="49"/>
        <v>664.28571428571433</v>
      </c>
      <c r="V97" s="69">
        <f t="shared" si="46"/>
        <v>218</v>
      </c>
      <c r="W97" s="68">
        <v>0</v>
      </c>
      <c r="X97" s="68">
        <v>0</v>
      </c>
      <c r="Y97" s="68">
        <f t="shared" si="36"/>
        <v>882.28571428571433</v>
      </c>
      <c r="Z97" s="101">
        <f t="shared" si="40"/>
        <v>11569.75</v>
      </c>
      <c r="AA97" s="68">
        <v>0</v>
      </c>
      <c r="AB97" s="68">
        <f t="shared" si="41"/>
        <v>11569.75</v>
      </c>
      <c r="AC97" s="69">
        <f t="shared" si="50"/>
        <v>727.94642857142867</v>
      </c>
      <c r="AD97" s="69">
        <f t="shared" si="42"/>
        <v>592</v>
      </c>
      <c r="AE97" s="70">
        <f t="shared" si="43"/>
        <v>0</v>
      </c>
      <c r="AF97" s="71">
        <f t="shared" si="52"/>
        <v>1319.9464285714287</v>
      </c>
      <c r="AG97" s="71">
        <f t="shared" si="44"/>
        <v>13771.982142857143</v>
      </c>
    </row>
    <row r="98" spans="1:33" x14ac:dyDescent="0.2">
      <c r="A98" s="74" t="s">
        <v>820</v>
      </c>
      <c r="B98" s="75" t="e">
        <f t="shared" si="45"/>
        <v>#REF!</v>
      </c>
      <c r="C98" s="75" t="s">
        <v>557</v>
      </c>
      <c r="D98" s="97" t="s">
        <v>50</v>
      </c>
      <c r="E98" s="97" t="s">
        <v>484</v>
      </c>
      <c r="F98" s="76">
        <v>42827</v>
      </c>
      <c r="G98" s="133"/>
      <c r="H98" s="133"/>
      <c r="I98" s="75">
        <v>30</v>
      </c>
      <c r="J98" s="68">
        <f t="shared" si="38"/>
        <v>5357.1428571428578</v>
      </c>
      <c r="K98" s="68">
        <f t="shared" si="39"/>
        <v>0</v>
      </c>
      <c r="L98" s="68">
        <f t="shared" si="47"/>
        <v>267.85714285714289</v>
      </c>
      <c r="M98" s="68"/>
      <c r="N98" s="68">
        <f t="shared" si="51"/>
        <v>857.14285714285722</v>
      </c>
      <c r="O98" s="68"/>
      <c r="P98" s="68">
        <f>((1950+1441-178+1017+0)/I$3)*I98</f>
        <v>4532.1428571428578</v>
      </c>
      <c r="Q98" s="68"/>
      <c r="R98" s="68">
        <v>0</v>
      </c>
      <c r="S98" s="68">
        <v>0</v>
      </c>
      <c r="T98" s="68">
        <f t="shared" si="63"/>
        <v>11014.285714285716</v>
      </c>
      <c r="U98" s="69">
        <f t="shared" si="49"/>
        <v>642.85714285714289</v>
      </c>
      <c r="V98" s="69">
        <f t="shared" si="46"/>
        <v>193</v>
      </c>
      <c r="W98" s="68">
        <v>0</v>
      </c>
      <c r="X98" s="68">
        <v>0</v>
      </c>
      <c r="Y98" s="68">
        <f t="shared" si="36"/>
        <v>835.85714285714289</v>
      </c>
      <c r="Z98" s="68">
        <f t="shared" si="40"/>
        <v>10178.428571428572</v>
      </c>
      <c r="AA98" s="68">
        <v>0</v>
      </c>
      <c r="AB98" s="68">
        <f t="shared" si="41"/>
        <v>10178.428571428572</v>
      </c>
      <c r="AC98" s="69">
        <f t="shared" si="50"/>
        <v>704.46428571428578</v>
      </c>
      <c r="AD98" s="69">
        <f t="shared" si="42"/>
        <v>524</v>
      </c>
      <c r="AE98" s="70">
        <f t="shared" si="43"/>
        <v>0</v>
      </c>
      <c r="AF98" s="71">
        <f t="shared" si="52"/>
        <v>1228.4642857142858</v>
      </c>
      <c r="AG98" s="71">
        <f t="shared" si="44"/>
        <v>12242.750000000002</v>
      </c>
    </row>
    <row r="99" spans="1:33" x14ac:dyDescent="0.2">
      <c r="A99" s="74" t="s">
        <v>821</v>
      </c>
      <c r="B99" s="75" t="e">
        <f t="shared" si="45"/>
        <v>#REF!</v>
      </c>
      <c r="C99" s="75" t="s">
        <v>560</v>
      </c>
      <c r="D99" s="97" t="s">
        <v>50</v>
      </c>
      <c r="E99" s="97" t="s">
        <v>484</v>
      </c>
      <c r="F99" s="76">
        <v>42828</v>
      </c>
      <c r="G99" s="133"/>
      <c r="H99" s="133"/>
      <c r="I99" s="75">
        <v>31</v>
      </c>
      <c r="J99" s="68">
        <f t="shared" si="38"/>
        <v>5535.7142857142862</v>
      </c>
      <c r="K99" s="68">
        <f t="shared" si="39"/>
        <v>0</v>
      </c>
      <c r="L99" s="68">
        <f t="shared" si="47"/>
        <v>276.78571428571433</v>
      </c>
      <c r="M99" s="68"/>
      <c r="N99" s="68">
        <f t="shared" si="51"/>
        <v>885.71428571428578</v>
      </c>
      <c r="O99" s="68"/>
      <c r="P99" s="68">
        <f>((1950+1441-178+1017+0)/I$3)*I99</f>
        <v>4683.2142857142862</v>
      </c>
      <c r="Q99" s="68"/>
      <c r="R99" s="68">
        <v>0</v>
      </c>
      <c r="S99" s="68">
        <v>0</v>
      </c>
      <c r="T99" s="68">
        <f t="shared" si="63"/>
        <v>11381.428571428572</v>
      </c>
      <c r="U99" s="69">
        <f t="shared" si="49"/>
        <v>664.28571428571433</v>
      </c>
      <c r="V99" s="69">
        <f t="shared" si="46"/>
        <v>200</v>
      </c>
      <c r="W99" s="68">
        <v>0</v>
      </c>
      <c r="X99" s="68">
        <v>0</v>
      </c>
      <c r="Y99" s="68">
        <f t="shared" si="36"/>
        <v>864.28571428571433</v>
      </c>
      <c r="Z99" s="68">
        <f t="shared" si="40"/>
        <v>10517.142857142859</v>
      </c>
      <c r="AA99" s="68">
        <v>0</v>
      </c>
      <c r="AB99" s="68">
        <f t="shared" si="41"/>
        <v>10517.142857142859</v>
      </c>
      <c r="AC99" s="69">
        <f t="shared" si="50"/>
        <v>727.94642857142867</v>
      </c>
      <c r="AD99" s="69">
        <f t="shared" si="42"/>
        <v>541</v>
      </c>
      <c r="AE99" s="70">
        <f t="shared" si="43"/>
        <v>0</v>
      </c>
      <c r="AF99" s="71">
        <f t="shared" si="52"/>
        <v>1268.9464285714287</v>
      </c>
      <c r="AG99" s="71">
        <f t="shared" si="44"/>
        <v>12650.375000000002</v>
      </c>
    </row>
    <row r="100" spans="1:33" x14ac:dyDescent="0.2">
      <c r="A100" s="74" t="s">
        <v>823</v>
      </c>
      <c r="B100" s="75" t="e">
        <f t="shared" si="45"/>
        <v>#REF!</v>
      </c>
      <c r="C100" s="75" t="s">
        <v>562</v>
      </c>
      <c r="D100" s="97" t="s">
        <v>50</v>
      </c>
      <c r="E100" s="97" t="s">
        <v>484</v>
      </c>
      <c r="F100" s="76">
        <v>42829</v>
      </c>
      <c r="G100" s="133"/>
      <c r="H100" s="133"/>
      <c r="I100" s="75">
        <v>28</v>
      </c>
      <c r="J100" s="68">
        <f t="shared" si="38"/>
        <v>5000</v>
      </c>
      <c r="K100" s="68">
        <f t="shared" si="39"/>
        <v>0</v>
      </c>
      <c r="L100" s="68">
        <f t="shared" si="47"/>
        <v>250</v>
      </c>
      <c r="M100" s="68"/>
      <c r="N100" s="68">
        <f t="shared" si="51"/>
        <v>800</v>
      </c>
      <c r="O100" s="68"/>
      <c r="P100" s="68">
        <f>((1950+1441-178+1017+0)/I$3)*I100</f>
        <v>4230</v>
      </c>
      <c r="Q100" s="68"/>
      <c r="R100" s="68">
        <v>0</v>
      </c>
      <c r="S100" s="68">
        <v>0</v>
      </c>
      <c r="T100" s="68">
        <f t="shared" si="63"/>
        <v>10280</v>
      </c>
      <c r="U100" s="69">
        <f t="shared" si="49"/>
        <v>600</v>
      </c>
      <c r="V100" s="69">
        <f t="shared" si="46"/>
        <v>180</v>
      </c>
      <c r="W100" s="68">
        <v>0</v>
      </c>
      <c r="X100" s="68">
        <v>0</v>
      </c>
      <c r="Y100" s="68">
        <f t="shared" si="36"/>
        <v>780</v>
      </c>
      <c r="Z100" s="68">
        <f t="shared" si="40"/>
        <v>9500</v>
      </c>
      <c r="AA100" s="68">
        <v>0</v>
      </c>
      <c r="AB100" s="68">
        <f t="shared" si="41"/>
        <v>9500</v>
      </c>
      <c r="AC100" s="69">
        <f t="shared" si="50"/>
        <v>657.5</v>
      </c>
      <c r="AD100" s="69">
        <f t="shared" si="42"/>
        <v>489</v>
      </c>
      <c r="AE100" s="70">
        <f t="shared" si="43"/>
        <v>0</v>
      </c>
      <c r="AF100" s="71">
        <f t="shared" si="52"/>
        <v>1146.5</v>
      </c>
      <c r="AG100" s="71">
        <f t="shared" si="44"/>
        <v>11426.5</v>
      </c>
    </row>
    <row r="101" spans="1:33" x14ac:dyDescent="0.2">
      <c r="A101" s="74" t="s">
        <v>827</v>
      </c>
      <c r="B101" s="75" t="e">
        <f t="shared" si="45"/>
        <v>#REF!</v>
      </c>
      <c r="C101" s="75" t="s">
        <v>567</v>
      </c>
      <c r="D101" s="97" t="s">
        <v>50</v>
      </c>
      <c r="E101" s="97" t="s">
        <v>484</v>
      </c>
      <c r="F101" s="76">
        <v>42830</v>
      </c>
      <c r="G101" s="133"/>
      <c r="H101" s="133"/>
      <c r="I101" s="75">
        <v>4</v>
      </c>
      <c r="J101" s="68">
        <f t="shared" si="38"/>
        <v>714.28571428571433</v>
      </c>
      <c r="K101" s="68">
        <f t="shared" si="39"/>
        <v>0</v>
      </c>
      <c r="L101" s="68">
        <f t="shared" si="47"/>
        <v>35.714285714285715</v>
      </c>
      <c r="M101" s="68"/>
      <c r="N101" s="68">
        <f t="shared" si="51"/>
        <v>114.28571428571429</v>
      </c>
      <c r="O101" s="68"/>
      <c r="P101" s="68">
        <f>((1950+1441-178+1017+0)/I$3)*I101</f>
        <v>604.28571428571433</v>
      </c>
      <c r="Q101" s="68"/>
      <c r="R101" s="68">
        <v>0</v>
      </c>
      <c r="S101" s="68">
        <v>0</v>
      </c>
      <c r="T101" s="68">
        <f t="shared" si="63"/>
        <v>1468.5714285714287</v>
      </c>
      <c r="U101" s="69">
        <f t="shared" si="49"/>
        <v>85.714285714285722</v>
      </c>
      <c r="V101" s="69">
        <f t="shared" si="46"/>
        <v>26</v>
      </c>
      <c r="W101" s="68">
        <v>0</v>
      </c>
      <c r="X101" s="68">
        <v>0</v>
      </c>
      <c r="Y101" s="68">
        <f t="shared" si="36"/>
        <v>111.71428571428572</v>
      </c>
      <c r="Z101" s="68">
        <f t="shared" si="40"/>
        <v>1356.8571428571429</v>
      </c>
      <c r="AA101" s="68">
        <v>0</v>
      </c>
      <c r="AB101" s="68">
        <f t="shared" si="41"/>
        <v>1356.8571428571429</v>
      </c>
      <c r="AC101" s="69">
        <f t="shared" si="50"/>
        <v>93.928571428571445</v>
      </c>
      <c r="AD101" s="69">
        <f t="shared" si="42"/>
        <v>70</v>
      </c>
      <c r="AE101" s="70">
        <f t="shared" si="43"/>
        <v>0</v>
      </c>
      <c r="AF101" s="71">
        <f t="shared" si="52"/>
        <v>163.92857142857144</v>
      </c>
      <c r="AG101" s="71">
        <f t="shared" si="44"/>
        <v>1632.5</v>
      </c>
    </row>
    <row r="102" spans="1:33" x14ac:dyDescent="0.2">
      <c r="A102" s="74" t="s">
        <v>828</v>
      </c>
      <c r="B102" s="75" t="e">
        <f t="shared" si="45"/>
        <v>#REF!</v>
      </c>
      <c r="C102" s="75" t="s">
        <v>706</v>
      </c>
      <c r="D102" s="97" t="s">
        <v>50</v>
      </c>
      <c r="E102" s="97" t="s">
        <v>484</v>
      </c>
      <c r="F102" s="76">
        <v>42831</v>
      </c>
      <c r="G102" s="133"/>
      <c r="H102" s="133"/>
      <c r="I102" s="75">
        <v>29</v>
      </c>
      <c r="J102" s="68">
        <f t="shared" si="38"/>
        <v>5178.5714285714294</v>
      </c>
      <c r="K102" s="68">
        <f t="shared" si="39"/>
        <v>0</v>
      </c>
      <c r="L102" s="68">
        <f t="shared" si="47"/>
        <v>258.9285714285715</v>
      </c>
      <c r="M102" s="68"/>
      <c r="N102" s="68">
        <f t="shared" si="51"/>
        <v>828.57142857142867</v>
      </c>
      <c r="O102" s="68"/>
      <c r="P102" s="68">
        <f>((1950+1441-178+1017+0)/I$3)*I102</f>
        <v>4381.0714285714294</v>
      </c>
      <c r="Q102" s="68"/>
      <c r="R102" s="68">
        <v>0</v>
      </c>
      <c r="S102" s="68">
        <v>0</v>
      </c>
      <c r="T102" s="68">
        <f t="shared" si="63"/>
        <v>10647.142857142859</v>
      </c>
      <c r="U102" s="69">
        <f t="shared" si="49"/>
        <v>621.42857142857144</v>
      </c>
      <c r="V102" s="69">
        <f t="shared" si="46"/>
        <v>187</v>
      </c>
      <c r="W102" s="68">
        <v>0</v>
      </c>
      <c r="X102" s="68">
        <v>0</v>
      </c>
      <c r="Y102" s="68">
        <f t="shared" si="36"/>
        <v>808.42857142857144</v>
      </c>
      <c r="Z102" s="68">
        <f t="shared" si="40"/>
        <v>9838.7142857142881</v>
      </c>
      <c r="AA102" s="68">
        <v>0</v>
      </c>
      <c r="AB102" s="68">
        <f t="shared" si="41"/>
        <v>9838.7142857142881</v>
      </c>
      <c r="AC102" s="69">
        <f t="shared" si="50"/>
        <v>680.982142857143</v>
      </c>
      <c r="AD102" s="69">
        <f t="shared" si="42"/>
        <v>506</v>
      </c>
      <c r="AE102" s="70">
        <f t="shared" si="43"/>
        <v>0</v>
      </c>
      <c r="AF102" s="71">
        <f t="shared" si="52"/>
        <v>1186.9821428571431</v>
      </c>
      <c r="AG102" s="71">
        <f t="shared" si="44"/>
        <v>11834.125000000002</v>
      </c>
    </row>
    <row r="103" spans="1:33" x14ac:dyDescent="0.2">
      <c r="A103" s="74" t="s">
        <v>586</v>
      </c>
      <c r="B103" s="75" t="e">
        <f>#REF!+1</f>
        <v>#REF!</v>
      </c>
      <c r="C103" s="75" t="s">
        <v>573</v>
      </c>
      <c r="D103" s="97" t="s">
        <v>50</v>
      </c>
      <c r="E103" s="97" t="s">
        <v>237</v>
      </c>
      <c r="F103" s="76">
        <v>42832</v>
      </c>
      <c r="G103" s="133"/>
      <c r="H103" s="133"/>
      <c r="I103" s="75">
        <v>27</v>
      </c>
      <c r="J103" s="68">
        <f t="shared" si="38"/>
        <v>4821.4285714285716</v>
      </c>
      <c r="K103" s="68">
        <f t="shared" si="39"/>
        <v>0</v>
      </c>
      <c r="L103" s="68">
        <f t="shared" si="47"/>
        <v>241.07142857142858</v>
      </c>
      <c r="M103" s="68"/>
      <c r="N103" s="68">
        <f t="shared" si="51"/>
        <v>771.42857142857144</v>
      </c>
      <c r="O103" s="68"/>
      <c r="P103" s="68">
        <f>((1950+1441-178+1017+1527+509)/I$3)*I103</f>
        <v>6042.2142857142853</v>
      </c>
      <c r="Q103" s="68"/>
      <c r="R103" s="68">
        <v>0</v>
      </c>
      <c r="S103" s="68">
        <v>0</v>
      </c>
      <c r="T103" s="68">
        <f t="shared" si="63"/>
        <v>11876.142857142857</v>
      </c>
      <c r="U103" s="69">
        <f t="shared" si="49"/>
        <v>578.57142857142856</v>
      </c>
      <c r="V103" s="69">
        <f t="shared" si="46"/>
        <v>208</v>
      </c>
      <c r="W103" s="68">
        <v>0</v>
      </c>
      <c r="X103" s="68">
        <v>0</v>
      </c>
      <c r="Y103" s="68">
        <f t="shared" si="36"/>
        <v>786.57142857142856</v>
      </c>
      <c r="Z103" s="68">
        <f t="shared" si="40"/>
        <v>11089.571428571428</v>
      </c>
      <c r="AA103" s="68">
        <v>0</v>
      </c>
      <c r="AB103" s="68">
        <f t="shared" si="41"/>
        <v>11089.571428571428</v>
      </c>
      <c r="AC103" s="69">
        <f t="shared" si="50"/>
        <v>634.01785714285722</v>
      </c>
      <c r="AD103" s="69">
        <f t="shared" si="42"/>
        <v>565</v>
      </c>
      <c r="AE103" s="70">
        <f t="shared" si="43"/>
        <v>0</v>
      </c>
      <c r="AF103" s="71">
        <f t="shared" si="52"/>
        <v>1199.0178571428573</v>
      </c>
      <c r="AG103" s="71">
        <f t="shared" si="44"/>
        <v>13075.160714285714</v>
      </c>
    </row>
    <row r="104" spans="1:33" x14ac:dyDescent="0.2">
      <c r="A104" s="74" t="s">
        <v>353</v>
      </c>
      <c r="B104" s="75" t="e">
        <f t="shared" si="45"/>
        <v>#REF!</v>
      </c>
      <c r="C104" s="75" t="s">
        <v>579</v>
      </c>
      <c r="D104" s="97" t="s">
        <v>50</v>
      </c>
      <c r="E104" s="97" t="s">
        <v>239</v>
      </c>
      <c r="F104" s="76">
        <v>42833</v>
      </c>
      <c r="G104" s="133"/>
      <c r="H104" s="133"/>
      <c r="I104" s="75">
        <v>29</v>
      </c>
      <c r="J104" s="68">
        <f t="shared" si="38"/>
        <v>5178.5714285714294</v>
      </c>
      <c r="K104" s="68">
        <f t="shared" si="39"/>
        <v>0</v>
      </c>
      <c r="L104" s="68">
        <f t="shared" si="47"/>
        <v>258.9285714285715</v>
      </c>
      <c r="M104" s="68"/>
      <c r="N104" s="68">
        <f t="shared" si="51"/>
        <v>828.57142857142867</v>
      </c>
      <c r="O104" s="68"/>
      <c r="P104" s="68">
        <f>((1950+1441-178+1017+1018+0)/I$3)*I104</f>
        <v>5435.4285714285706</v>
      </c>
      <c r="Q104" s="68"/>
      <c r="R104" s="68">
        <v>0</v>
      </c>
      <c r="S104" s="68">
        <v>0</v>
      </c>
      <c r="T104" s="68">
        <f t="shared" si="63"/>
        <v>11701.5</v>
      </c>
      <c r="U104" s="69">
        <f t="shared" si="49"/>
        <v>621.42857142857144</v>
      </c>
      <c r="V104" s="69">
        <f t="shared" si="46"/>
        <v>205</v>
      </c>
      <c r="W104" s="68">
        <v>0</v>
      </c>
      <c r="X104" s="68">
        <v>0</v>
      </c>
      <c r="Y104" s="68">
        <f t="shared" si="36"/>
        <v>826.42857142857144</v>
      </c>
      <c r="Z104" s="68">
        <f t="shared" si="40"/>
        <v>10875.071428571429</v>
      </c>
      <c r="AA104" s="68">
        <v>0</v>
      </c>
      <c r="AB104" s="68">
        <f t="shared" si="41"/>
        <v>10875.071428571429</v>
      </c>
      <c r="AC104" s="69">
        <f t="shared" si="50"/>
        <v>680.982142857143</v>
      </c>
      <c r="AD104" s="69">
        <f t="shared" si="42"/>
        <v>556</v>
      </c>
      <c r="AE104" s="70">
        <f t="shared" si="43"/>
        <v>0</v>
      </c>
      <c r="AF104" s="71">
        <f t="shared" si="52"/>
        <v>1236.9821428571431</v>
      </c>
      <c r="AG104" s="71">
        <f t="shared" si="44"/>
        <v>12938.482142857143</v>
      </c>
    </row>
    <row r="105" spans="1:33" x14ac:dyDescent="0.2">
      <c r="A105" s="74" t="s">
        <v>832</v>
      </c>
      <c r="B105" s="75" t="e">
        <f t="shared" si="45"/>
        <v>#REF!</v>
      </c>
      <c r="C105" s="75" t="s">
        <v>403</v>
      </c>
      <c r="D105" s="97" t="s">
        <v>50</v>
      </c>
      <c r="E105" s="97" t="s">
        <v>241</v>
      </c>
      <c r="F105" s="76">
        <v>42834</v>
      </c>
      <c r="G105" s="133"/>
      <c r="H105" s="133"/>
      <c r="I105" s="75">
        <v>30</v>
      </c>
      <c r="J105" s="68">
        <f t="shared" si="38"/>
        <v>5357.1428571428578</v>
      </c>
      <c r="K105" s="68">
        <f t="shared" si="39"/>
        <v>0</v>
      </c>
      <c r="L105" s="68">
        <f t="shared" si="47"/>
        <v>267.85714285714289</v>
      </c>
      <c r="M105" s="68"/>
      <c r="N105" s="68">
        <f t="shared" si="51"/>
        <v>857.14285714285722</v>
      </c>
      <c r="O105" s="68"/>
      <c r="P105" s="68">
        <f>((1950+1441-178+1017+0)/I$3)*I105</f>
        <v>4532.1428571428578</v>
      </c>
      <c r="Q105" s="68"/>
      <c r="R105" s="68">
        <v>0</v>
      </c>
      <c r="S105" s="68">
        <v>0</v>
      </c>
      <c r="T105" s="68">
        <f t="shared" si="63"/>
        <v>11014.285714285716</v>
      </c>
      <c r="U105" s="69">
        <f t="shared" si="49"/>
        <v>642.85714285714289</v>
      </c>
      <c r="V105" s="69">
        <f t="shared" si="46"/>
        <v>193</v>
      </c>
      <c r="W105" s="68">
        <v>0</v>
      </c>
      <c r="X105" s="68">
        <v>0</v>
      </c>
      <c r="Y105" s="68">
        <f t="shared" si="36"/>
        <v>835.85714285714289</v>
      </c>
      <c r="Z105" s="68">
        <f t="shared" si="40"/>
        <v>10178.428571428572</v>
      </c>
      <c r="AA105" s="68">
        <v>0</v>
      </c>
      <c r="AB105" s="68">
        <f t="shared" si="41"/>
        <v>10178.428571428572</v>
      </c>
      <c r="AC105" s="69">
        <f t="shared" si="50"/>
        <v>704.46428571428578</v>
      </c>
      <c r="AD105" s="69">
        <f t="shared" si="42"/>
        <v>524</v>
      </c>
      <c r="AE105" s="70">
        <f t="shared" si="43"/>
        <v>0</v>
      </c>
      <c r="AF105" s="71">
        <f t="shared" si="52"/>
        <v>1228.4642857142858</v>
      </c>
      <c r="AG105" s="71">
        <f t="shared" si="44"/>
        <v>12242.750000000002</v>
      </c>
    </row>
    <row r="106" spans="1:33" x14ac:dyDescent="0.2">
      <c r="A106" s="74" t="s">
        <v>856</v>
      </c>
      <c r="B106" s="75" t="e">
        <f t="shared" si="45"/>
        <v>#REF!</v>
      </c>
      <c r="C106" s="75" t="s">
        <v>370</v>
      </c>
      <c r="D106" s="97" t="s">
        <v>50</v>
      </c>
      <c r="E106" s="97" t="s">
        <v>484</v>
      </c>
      <c r="F106" s="76">
        <v>42835</v>
      </c>
      <c r="G106" s="133"/>
      <c r="H106" s="133"/>
      <c r="I106" s="75">
        <v>24</v>
      </c>
      <c r="J106" s="68">
        <f t="shared" si="38"/>
        <v>4285.7142857142862</v>
      </c>
      <c r="K106" s="68">
        <f t="shared" si="39"/>
        <v>0</v>
      </c>
      <c r="L106" s="68">
        <f t="shared" si="47"/>
        <v>214.28571428571433</v>
      </c>
      <c r="M106" s="68"/>
      <c r="N106" s="68">
        <f t="shared" si="51"/>
        <v>685.71428571428578</v>
      </c>
      <c r="O106" s="68"/>
      <c r="P106" s="68">
        <f>((1950+1441-178+1017+0)/I$3)*I106</f>
        <v>3625.7142857142862</v>
      </c>
      <c r="Q106" s="68"/>
      <c r="R106" s="68">
        <v>0</v>
      </c>
      <c r="S106" s="68">
        <v>0</v>
      </c>
      <c r="T106" s="68">
        <f t="shared" si="63"/>
        <v>8811.4285714285725</v>
      </c>
      <c r="U106" s="69">
        <f t="shared" si="49"/>
        <v>514.28571428571433</v>
      </c>
      <c r="V106" s="69">
        <f t="shared" si="46"/>
        <v>155</v>
      </c>
      <c r="W106" s="68">
        <v>0</v>
      </c>
      <c r="X106" s="68">
        <v>0</v>
      </c>
      <c r="Y106" s="68">
        <f t="shared" si="36"/>
        <v>669.28571428571433</v>
      </c>
      <c r="Z106" s="68">
        <f t="shared" si="40"/>
        <v>8142.1428571428578</v>
      </c>
      <c r="AA106" s="68">
        <v>0</v>
      </c>
      <c r="AB106" s="68">
        <f t="shared" si="41"/>
        <v>8142.1428571428578</v>
      </c>
      <c r="AC106" s="69">
        <f t="shared" si="50"/>
        <v>563.57142857142867</v>
      </c>
      <c r="AD106" s="69">
        <f t="shared" si="42"/>
        <v>419</v>
      </c>
      <c r="AE106" s="70">
        <f t="shared" si="43"/>
        <v>0</v>
      </c>
      <c r="AF106" s="71">
        <f t="shared" ref="AF106:AF145" si="64">SUM(AC106:AE106)</f>
        <v>982.57142857142867</v>
      </c>
      <c r="AG106" s="71">
        <f t="shared" si="44"/>
        <v>9794.0000000000018</v>
      </c>
    </row>
    <row r="107" spans="1:33" x14ac:dyDescent="0.2">
      <c r="A107" s="74" t="s">
        <v>857</v>
      </c>
      <c r="B107" s="75" t="e">
        <f t="shared" si="45"/>
        <v>#REF!</v>
      </c>
      <c r="C107" s="75" t="s">
        <v>714</v>
      </c>
      <c r="D107" s="97" t="s">
        <v>50</v>
      </c>
      <c r="E107" s="97" t="s">
        <v>484</v>
      </c>
      <c r="F107" s="76">
        <v>42836</v>
      </c>
      <c r="G107" s="133"/>
      <c r="H107" s="133"/>
      <c r="I107" s="75">
        <v>22</v>
      </c>
      <c r="J107" s="68">
        <f t="shared" si="38"/>
        <v>3928.5714285714289</v>
      </c>
      <c r="K107" s="68">
        <f t="shared" si="39"/>
        <v>0</v>
      </c>
      <c r="L107" s="68">
        <f t="shared" si="47"/>
        <v>196.42857142857144</v>
      </c>
      <c r="M107" s="68"/>
      <c r="N107" s="68">
        <f t="shared" si="51"/>
        <v>628.57142857142856</v>
      </c>
      <c r="O107" s="68"/>
      <c r="P107" s="68">
        <f>((1950+1441-178+1017+967)/I$3)*I107</f>
        <v>4083.3571428571431</v>
      </c>
      <c r="Q107" s="68"/>
      <c r="R107" s="68">
        <v>0</v>
      </c>
      <c r="S107" s="68">
        <v>0</v>
      </c>
      <c r="T107" s="68">
        <f t="shared" si="63"/>
        <v>8836.9285714285725</v>
      </c>
      <c r="U107" s="69">
        <f t="shared" si="49"/>
        <v>471.42857142857144</v>
      </c>
      <c r="V107" s="69">
        <f t="shared" si="46"/>
        <v>155</v>
      </c>
      <c r="W107" s="68">
        <v>0</v>
      </c>
      <c r="X107" s="68">
        <v>0</v>
      </c>
      <c r="Y107" s="68">
        <f t="shared" si="36"/>
        <v>626.42857142857144</v>
      </c>
      <c r="Z107" s="68">
        <f t="shared" si="40"/>
        <v>8210.5000000000018</v>
      </c>
      <c r="AA107" s="68">
        <v>0</v>
      </c>
      <c r="AB107" s="68">
        <f t="shared" si="41"/>
        <v>8210.5000000000018</v>
      </c>
      <c r="AC107" s="69">
        <f t="shared" si="50"/>
        <v>516.60714285714289</v>
      </c>
      <c r="AD107" s="69">
        <f t="shared" si="42"/>
        <v>420</v>
      </c>
      <c r="AE107" s="70">
        <f t="shared" si="43"/>
        <v>0</v>
      </c>
      <c r="AF107" s="71">
        <f t="shared" si="64"/>
        <v>936.60714285714289</v>
      </c>
      <c r="AG107" s="71">
        <f t="shared" si="44"/>
        <v>9773.5357142857156</v>
      </c>
    </row>
    <row r="108" spans="1:33" x14ac:dyDescent="0.2">
      <c r="A108" s="74" t="s">
        <v>861</v>
      </c>
      <c r="B108" s="75" t="e">
        <f>#REF!+1</f>
        <v>#REF!</v>
      </c>
      <c r="C108" s="75" t="s">
        <v>718</v>
      </c>
      <c r="D108" s="97" t="s">
        <v>50</v>
      </c>
      <c r="E108" s="97" t="s">
        <v>484</v>
      </c>
      <c r="F108" s="76">
        <v>42837</v>
      </c>
      <c r="G108" s="133"/>
      <c r="H108" s="133"/>
      <c r="I108" s="75">
        <v>13</v>
      </c>
      <c r="J108" s="68">
        <f t="shared" si="38"/>
        <v>2321.4285714285716</v>
      </c>
      <c r="K108" s="68">
        <f t="shared" si="39"/>
        <v>0</v>
      </c>
      <c r="L108" s="68">
        <f t="shared" si="47"/>
        <v>116.07142857142858</v>
      </c>
      <c r="M108" s="68"/>
      <c r="N108" s="68">
        <f t="shared" si="51"/>
        <v>371.42857142857144</v>
      </c>
      <c r="O108" s="68"/>
      <c r="P108" s="68">
        <f>((1950+1441-178+1017+0)/I$3)*I108</f>
        <v>1963.9285714285716</v>
      </c>
      <c r="Q108" s="68"/>
      <c r="R108" s="68">
        <v>0</v>
      </c>
      <c r="S108" s="68">
        <v>0</v>
      </c>
      <c r="T108" s="68">
        <f t="shared" si="63"/>
        <v>4772.8571428571431</v>
      </c>
      <c r="U108" s="69">
        <f t="shared" si="49"/>
        <v>278.57142857142856</v>
      </c>
      <c r="V108" s="69">
        <f t="shared" si="46"/>
        <v>84</v>
      </c>
      <c r="W108" s="68">
        <v>0</v>
      </c>
      <c r="X108" s="68">
        <v>0</v>
      </c>
      <c r="Y108" s="68">
        <f t="shared" si="36"/>
        <v>362.57142857142856</v>
      </c>
      <c r="Z108" s="68">
        <f t="shared" si="40"/>
        <v>4410.2857142857147</v>
      </c>
      <c r="AA108" s="68">
        <v>0</v>
      </c>
      <c r="AB108" s="68">
        <f t="shared" si="41"/>
        <v>4410.2857142857147</v>
      </c>
      <c r="AC108" s="69">
        <f t="shared" si="50"/>
        <v>305.26785714285717</v>
      </c>
      <c r="AD108" s="69">
        <f t="shared" si="42"/>
        <v>227</v>
      </c>
      <c r="AE108" s="70">
        <f t="shared" si="43"/>
        <v>0</v>
      </c>
      <c r="AF108" s="71">
        <f t="shared" si="64"/>
        <v>532.26785714285711</v>
      </c>
      <c r="AG108" s="71">
        <f t="shared" si="44"/>
        <v>5305.125</v>
      </c>
    </row>
    <row r="109" spans="1:33" x14ac:dyDescent="0.2">
      <c r="A109" s="74" t="s">
        <v>36</v>
      </c>
      <c r="B109" s="75" t="e">
        <f t="shared" si="45"/>
        <v>#REF!</v>
      </c>
      <c r="C109" s="75" t="s">
        <v>35</v>
      </c>
      <c r="D109" s="97" t="s">
        <v>50</v>
      </c>
      <c r="E109" s="97" t="s">
        <v>234</v>
      </c>
      <c r="F109" s="76">
        <v>42838</v>
      </c>
      <c r="G109" s="133"/>
      <c r="H109" s="133"/>
      <c r="I109" s="75">
        <v>28</v>
      </c>
      <c r="J109" s="68">
        <f t="shared" si="38"/>
        <v>5000</v>
      </c>
      <c r="K109" s="68">
        <f t="shared" si="39"/>
        <v>0</v>
      </c>
      <c r="L109" s="68">
        <f t="shared" si="47"/>
        <v>250</v>
      </c>
      <c r="M109" s="68"/>
      <c r="N109" s="68">
        <f t="shared" si="51"/>
        <v>800</v>
      </c>
      <c r="O109" s="68"/>
      <c r="P109" s="68">
        <f>((1950+1441-178+1017+2240)/I$3)*I109</f>
        <v>6470</v>
      </c>
      <c r="Q109" s="68"/>
      <c r="R109" s="68">
        <v>0</v>
      </c>
      <c r="S109" s="68">
        <v>0</v>
      </c>
      <c r="T109" s="68">
        <f t="shared" si="63"/>
        <v>12520</v>
      </c>
      <c r="U109" s="69">
        <f t="shared" si="49"/>
        <v>600</v>
      </c>
      <c r="V109" s="69">
        <f t="shared" si="46"/>
        <v>220</v>
      </c>
      <c r="W109" s="68">
        <v>0</v>
      </c>
      <c r="X109" s="68">
        <v>0</v>
      </c>
      <c r="Y109" s="68">
        <f t="shared" si="36"/>
        <v>820</v>
      </c>
      <c r="Z109" s="68">
        <f t="shared" si="40"/>
        <v>11700</v>
      </c>
      <c r="AA109" s="68">
        <v>0</v>
      </c>
      <c r="AB109" s="68">
        <f t="shared" si="41"/>
        <v>11700</v>
      </c>
      <c r="AC109" s="69">
        <f t="shared" si="50"/>
        <v>657.5</v>
      </c>
      <c r="AD109" s="69">
        <f t="shared" si="42"/>
        <v>595</v>
      </c>
      <c r="AE109" s="70">
        <f t="shared" si="43"/>
        <v>0</v>
      </c>
      <c r="AF109" s="71">
        <f t="shared" si="64"/>
        <v>1252.5</v>
      </c>
      <c r="AG109" s="71">
        <f t="shared" si="44"/>
        <v>13772.5</v>
      </c>
    </row>
    <row r="110" spans="1:33" x14ac:dyDescent="0.2">
      <c r="A110" s="74" t="s">
        <v>879</v>
      </c>
      <c r="B110" s="75" t="e">
        <f>#REF!+1</f>
        <v>#REF!</v>
      </c>
      <c r="C110" s="75" t="s">
        <v>736</v>
      </c>
      <c r="D110" s="97" t="s">
        <v>50</v>
      </c>
      <c r="E110" s="97" t="s">
        <v>234</v>
      </c>
      <c r="F110" s="76">
        <v>42839</v>
      </c>
      <c r="G110" s="133"/>
      <c r="H110" s="133"/>
      <c r="I110" s="75">
        <v>10</v>
      </c>
      <c r="J110" s="68">
        <f t="shared" si="38"/>
        <v>1785.7142857142858</v>
      </c>
      <c r="K110" s="68">
        <f t="shared" si="39"/>
        <v>0</v>
      </c>
      <c r="L110" s="68">
        <f t="shared" si="47"/>
        <v>89.285714285714292</v>
      </c>
      <c r="M110" s="68"/>
      <c r="N110" s="68">
        <f t="shared" si="51"/>
        <v>285.71428571428572</v>
      </c>
      <c r="O110" s="68"/>
      <c r="P110" s="68">
        <f>((1950+1441-178+1017+1018)/I$3)*I110</f>
        <v>1874.2857142857142</v>
      </c>
      <c r="Q110" s="68"/>
      <c r="R110" s="68">
        <v>0</v>
      </c>
      <c r="S110" s="68">
        <v>0</v>
      </c>
      <c r="T110" s="68">
        <f t="shared" si="63"/>
        <v>4035</v>
      </c>
      <c r="U110" s="69">
        <f t="shared" si="49"/>
        <v>214.28571428571428</v>
      </c>
      <c r="V110" s="69">
        <f t="shared" si="46"/>
        <v>71</v>
      </c>
      <c r="W110" s="68">
        <v>0</v>
      </c>
      <c r="X110" s="68">
        <v>0</v>
      </c>
      <c r="Y110" s="68">
        <f t="shared" si="36"/>
        <v>285.28571428571428</v>
      </c>
      <c r="Z110" s="68">
        <f t="shared" si="40"/>
        <v>3749.7142857142858</v>
      </c>
      <c r="AA110" s="68">
        <v>0</v>
      </c>
      <c r="AB110" s="68">
        <f t="shared" si="41"/>
        <v>3749.7142857142858</v>
      </c>
      <c r="AC110" s="69">
        <f t="shared" si="50"/>
        <v>234.82142857142858</v>
      </c>
      <c r="AD110" s="69">
        <f t="shared" si="42"/>
        <v>192</v>
      </c>
      <c r="AE110" s="70">
        <f t="shared" si="43"/>
        <v>0</v>
      </c>
      <c r="AF110" s="71">
        <f t="shared" si="64"/>
        <v>426.82142857142856</v>
      </c>
      <c r="AG110" s="71">
        <f t="shared" si="44"/>
        <v>4461.8214285714284</v>
      </c>
    </row>
    <row r="111" spans="1:33" x14ac:dyDescent="0.2">
      <c r="A111" s="74" t="s">
        <v>881</v>
      </c>
      <c r="B111" s="75" t="e">
        <f t="shared" si="45"/>
        <v>#REF!</v>
      </c>
      <c r="C111" s="75" t="s">
        <v>738</v>
      </c>
      <c r="D111" s="97" t="s">
        <v>50</v>
      </c>
      <c r="E111" s="97" t="s">
        <v>234</v>
      </c>
      <c r="F111" s="76">
        <v>42840</v>
      </c>
      <c r="G111" s="133"/>
      <c r="H111" s="133"/>
      <c r="I111" s="75">
        <v>27</v>
      </c>
      <c r="J111" s="68">
        <f t="shared" si="38"/>
        <v>4821.4285714285716</v>
      </c>
      <c r="K111" s="68">
        <f t="shared" si="39"/>
        <v>0</v>
      </c>
      <c r="L111" s="68">
        <f t="shared" si="47"/>
        <v>241.07142857142858</v>
      </c>
      <c r="M111" s="68"/>
      <c r="N111" s="68">
        <f t="shared" si="51"/>
        <v>771.42857142857144</v>
      </c>
      <c r="O111" s="68"/>
      <c r="P111" s="68">
        <f>((1950+1441-178+1017+1018)/I$3)*I111</f>
        <v>5060.5714285714284</v>
      </c>
      <c r="Q111" s="68"/>
      <c r="R111" s="68">
        <v>0</v>
      </c>
      <c r="S111" s="68">
        <v>0</v>
      </c>
      <c r="T111" s="68">
        <f t="shared" si="63"/>
        <v>10894.5</v>
      </c>
      <c r="U111" s="69">
        <f t="shared" si="49"/>
        <v>578.57142857142856</v>
      </c>
      <c r="V111" s="69">
        <f t="shared" si="46"/>
        <v>191</v>
      </c>
      <c r="W111" s="68">
        <v>0</v>
      </c>
      <c r="X111" s="68">
        <v>0</v>
      </c>
      <c r="Y111" s="68">
        <f t="shared" si="36"/>
        <v>769.57142857142856</v>
      </c>
      <c r="Z111" s="68">
        <f t="shared" si="40"/>
        <v>10124.928571428571</v>
      </c>
      <c r="AA111" s="68">
        <v>0</v>
      </c>
      <c r="AB111" s="68">
        <f t="shared" si="41"/>
        <v>10124.928571428571</v>
      </c>
      <c r="AC111" s="69">
        <f t="shared" si="50"/>
        <v>634.01785714285722</v>
      </c>
      <c r="AD111" s="69">
        <f t="shared" si="42"/>
        <v>518</v>
      </c>
      <c r="AE111" s="70">
        <f t="shared" si="43"/>
        <v>0</v>
      </c>
      <c r="AF111" s="71">
        <f t="shared" si="64"/>
        <v>1152.0178571428573</v>
      </c>
      <c r="AG111" s="71">
        <f t="shared" si="44"/>
        <v>12046.517857142857</v>
      </c>
    </row>
    <row r="112" spans="1:33" x14ac:dyDescent="0.2">
      <c r="A112" s="74" t="s">
        <v>882</v>
      </c>
      <c r="B112" s="75" t="e">
        <f t="shared" si="45"/>
        <v>#REF!</v>
      </c>
      <c r="C112" s="75" t="s">
        <v>739</v>
      </c>
      <c r="D112" s="97" t="s">
        <v>50</v>
      </c>
      <c r="E112" s="97" t="s">
        <v>242</v>
      </c>
      <c r="F112" s="76">
        <v>42841</v>
      </c>
      <c r="G112" s="133"/>
      <c r="H112" s="133"/>
      <c r="I112" s="75">
        <v>30</v>
      </c>
      <c r="J112" s="68">
        <f t="shared" si="38"/>
        <v>5357.1428571428578</v>
      </c>
      <c r="K112" s="68">
        <f t="shared" si="39"/>
        <v>0</v>
      </c>
      <c r="L112" s="68">
        <f t="shared" si="47"/>
        <v>267.85714285714289</v>
      </c>
      <c r="M112" s="68"/>
      <c r="N112" s="68">
        <f t="shared" si="51"/>
        <v>857.14285714285722</v>
      </c>
      <c r="O112" s="68"/>
      <c r="P112" s="68">
        <f>((1950+1441-178+1017+0)/I$3)*I112</f>
        <v>4532.1428571428578</v>
      </c>
      <c r="Q112" s="68"/>
      <c r="R112" s="68">
        <v>0</v>
      </c>
      <c r="S112" s="68">
        <v>0</v>
      </c>
      <c r="T112" s="68">
        <f t="shared" si="63"/>
        <v>11014.285714285716</v>
      </c>
      <c r="U112" s="69">
        <f t="shared" si="49"/>
        <v>642.85714285714289</v>
      </c>
      <c r="V112" s="69">
        <f t="shared" si="46"/>
        <v>193</v>
      </c>
      <c r="W112" s="68">
        <v>0</v>
      </c>
      <c r="X112" s="68">
        <v>0</v>
      </c>
      <c r="Y112" s="68">
        <f t="shared" si="36"/>
        <v>835.85714285714289</v>
      </c>
      <c r="Z112" s="68">
        <f t="shared" si="40"/>
        <v>10178.428571428572</v>
      </c>
      <c r="AA112" s="68">
        <v>0</v>
      </c>
      <c r="AB112" s="68">
        <f t="shared" si="41"/>
        <v>10178.428571428572</v>
      </c>
      <c r="AC112" s="69">
        <f t="shared" si="50"/>
        <v>704.46428571428578</v>
      </c>
      <c r="AD112" s="69">
        <f t="shared" si="42"/>
        <v>524</v>
      </c>
      <c r="AE112" s="70">
        <f t="shared" si="43"/>
        <v>0</v>
      </c>
      <c r="AF112" s="71">
        <f t="shared" si="64"/>
        <v>1228.4642857142858</v>
      </c>
      <c r="AG112" s="71">
        <f t="shared" si="44"/>
        <v>12242.750000000002</v>
      </c>
    </row>
    <row r="113" spans="1:33" x14ac:dyDescent="0.2">
      <c r="A113" s="74" t="s">
        <v>886</v>
      </c>
      <c r="B113" s="75" t="e">
        <f t="shared" si="45"/>
        <v>#REF!</v>
      </c>
      <c r="C113" s="75" t="s">
        <v>743</v>
      </c>
      <c r="D113" s="97" t="s">
        <v>50</v>
      </c>
      <c r="E113" s="97" t="s">
        <v>234</v>
      </c>
      <c r="F113" s="76">
        <v>42842</v>
      </c>
      <c r="G113" s="133"/>
      <c r="H113" s="133"/>
      <c r="I113" s="75">
        <v>26.5</v>
      </c>
      <c r="J113" s="68">
        <f t="shared" si="38"/>
        <v>4732.1428571428578</v>
      </c>
      <c r="K113" s="68">
        <f t="shared" si="39"/>
        <v>0</v>
      </c>
      <c r="L113" s="68">
        <f t="shared" si="47"/>
        <v>236.60714285714289</v>
      </c>
      <c r="M113" s="68"/>
      <c r="N113" s="68">
        <f t="shared" si="51"/>
        <v>757.14285714285722</v>
      </c>
      <c r="O113" s="68"/>
      <c r="P113" s="68">
        <f>((8811)/I$3)*I113</f>
        <v>8338.9821428571431</v>
      </c>
      <c r="Q113" s="68"/>
      <c r="R113" s="68">
        <v>0</v>
      </c>
      <c r="S113" s="68">
        <v>0</v>
      </c>
      <c r="T113" s="68">
        <f t="shared" si="63"/>
        <v>14064.875</v>
      </c>
      <c r="U113" s="69">
        <f t="shared" si="49"/>
        <v>567.85714285714289</v>
      </c>
      <c r="V113" s="69">
        <f t="shared" si="46"/>
        <v>247</v>
      </c>
      <c r="W113" s="68">
        <v>0</v>
      </c>
      <c r="X113" s="68">
        <v>0</v>
      </c>
      <c r="Y113" s="68">
        <f t="shared" si="36"/>
        <v>814.85714285714289</v>
      </c>
      <c r="Z113" s="68">
        <f t="shared" si="40"/>
        <v>13250.017857142857</v>
      </c>
      <c r="AA113" s="68">
        <v>0</v>
      </c>
      <c r="AB113" s="68">
        <f t="shared" si="41"/>
        <v>13250.017857142857</v>
      </c>
      <c r="AC113" s="69">
        <f t="shared" si="50"/>
        <v>622.27678571428578</v>
      </c>
      <c r="AD113" s="69">
        <f t="shared" si="42"/>
        <v>669</v>
      </c>
      <c r="AE113" s="70">
        <f t="shared" si="43"/>
        <v>0</v>
      </c>
      <c r="AF113" s="71">
        <f t="shared" si="64"/>
        <v>1291.2767857142858</v>
      </c>
      <c r="AG113" s="71">
        <f t="shared" si="44"/>
        <v>15356.151785714286</v>
      </c>
    </row>
    <row r="114" spans="1:33" x14ac:dyDescent="0.2">
      <c r="A114" s="74" t="s">
        <v>894</v>
      </c>
      <c r="B114" s="75" t="e">
        <f t="shared" si="45"/>
        <v>#REF!</v>
      </c>
      <c r="C114" s="75" t="s">
        <v>751</v>
      </c>
      <c r="D114" s="97" t="s">
        <v>50</v>
      </c>
      <c r="E114" s="97" t="s">
        <v>234</v>
      </c>
      <c r="F114" s="76">
        <v>42843</v>
      </c>
      <c r="G114" s="133"/>
      <c r="H114" s="133"/>
      <c r="I114" s="75">
        <v>27</v>
      </c>
      <c r="J114" s="68">
        <f t="shared" si="38"/>
        <v>4821.4285714285716</v>
      </c>
      <c r="K114" s="68">
        <f t="shared" si="39"/>
        <v>0</v>
      </c>
      <c r="L114" s="68">
        <f t="shared" si="47"/>
        <v>241.07142857142858</v>
      </c>
      <c r="M114" s="68"/>
      <c r="N114" s="68">
        <f t="shared" si="51"/>
        <v>771.42857142857144</v>
      </c>
      <c r="O114" s="68"/>
      <c r="P114" s="68">
        <f>((1950+1441-178+1017+1018)/I$3)*I114</f>
        <v>5060.5714285714284</v>
      </c>
      <c r="Q114" s="68"/>
      <c r="R114" s="68">
        <v>0</v>
      </c>
      <c r="S114" s="68">
        <v>0</v>
      </c>
      <c r="T114" s="68">
        <f t="shared" si="63"/>
        <v>10894.5</v>
      </c>
      <c r="U114" s="69">
        <f t="shared" si="49"/>
        <v>578.57142857142856</v>
      </c>
      <c r="V114" s="69">
        <f t="shared" si="46"/>
        <v>191</v>
      </c>
      <c r="W114" s="68">
        <v>0</v>
      </c>
      <c r="X114" s="68">
        <v>0</v>
      </c>
      <c r="Y114" s="68">
        <f t="shared" si="36"/>
        <v>769.57142857142856</v>
      </c>
      <c r="Z114" s="68">
        <f t="shared" si="40"/>
        <v>10124.928571428571</v>
      </c>
      <c r="AA114" s="68">
        <v>0</v>
      </c>
      <c r="AB114" s="68">
        <f t="shared" si="41"/>
        <v>10124.928571428571</v>
      </c>
      <c r="AC114" s="69">
        <f t="shared" si="50"/>
        <v>634.01785714285722</v>
      </c>
      <c r="AD114" s="69">
        <f t="shared" si="42"/>
        <v>518</v>
      </c>
      <c r="AE114" s="70">
        <f t="shared" si="43"/>
        <v>0</v>
      </c>
      <c r="AF114" s="71">
        <f t="shared" si="64"/>
        <v>1152.0178571428573</v>
      </c>
      <c r="AG114" s="71">
        <f t="shared" si="44"/>
        <v>12046.517857142857</v>
      </c>
    </row>
    <row r="115" spans="1:33" x14ac:dyDescent="0.2">
      <c r="A115" s="74" t="s">
        <v>896</v>
      </c>
      <c r="B115" s="75" t="e">
        <f t="shared" si="45"/>
        <v>#REF!</v>
      </c>
      <c r="C115" s="75" t="s">
        <v>753</v>
      </c>
      <c r="D115" s="97" t="s">
        <v>50</v>
      </c>
      <c r="E115" s="97" t="s">
        <v>234</v>
      </c>
      <c r="F115" s="76">
        <v>42844</v>
      </c>
      <c r="G115" s="133"/>
      <c r="H115" s="133"/>
      <c r="I115" s="75">
        <v>7</v>
      </c>
      <c r="J115" s="68">
        <f t="shared" si="38"/>
        <v>1250</v>
      </c>
      <c r="K115" s="68">
        <f t="shared" si="39"/>
        <v>0</v>
      </c>
      <c r="L115" s="68">
        <f t="shared" si="47"/>
        <v>62.5</v>
      </c>
      <c r="M115" s="68"/>
      <c r="N115" s="68">
        <f t="shared" si="51"/>
        <v>200</v>
      </c>
      <c r="O115" s="68"/>
      <c r="P115" s="68">
        <f>((1950+1441-178+1017+1018)/I$3)*I115</f>
        <v>1312</v>
      </c>
      <c r="Q115" s="68"/>
      <c r="R115" s="68">
        <v>0</v>
      </c>
      <c r="S115" s="68">
        <v>0</v>
      </c>
      <c r="T115" s="68">
        <f t="shared" si="63"/>
        <v>2824.5</v>
      </c>
      <c r="U115" s="69">
        <f t="shared" si="49"/>
        <v>150</v>
      </c>
      <c r="V115" s="69">
        <f t="shared" si="46"/>
        <v>50</v>
      </c>
      <c r="W115" s="68">
        <v>0</v>
      </c>
      <c r="X115" s="68">
        <v>0</v>
      </c>
      <c r="Y115" s="68">
        <f t="shared" si="36"/>
        <v>200</v>
      </c>
      <c r="Z115" s="68">
        <f t="shared" si="40"/>
        <v>2624.5</v>
      </c>
      <c r="AA115" s="68">
        <v>0</v>
      </c>
      <c r="AB115" s="68">
        <f t="shared" si="41"/>
        <v>2624.5</v>
      </c>
      <c r="AC115" s="69">
        <f t="shared" si="50"/>
        <v>164.375</v>
      </c>
      <c r="AD115" s="69">
        <f t="shared" si="42"/>
        <v>135</v>
      </c>
      <c r="AE115" s="70">
        <f t="shared" si="43"/>
        <v>0</v>
      </c>
      <c r="AF115" s="71">
        <f t="shared" si="64"/>
        <v>299.375</v>
      </c>
      <c r="AG115" s="71">
        <f t="shared" si="44"/>
        <v>3123.875</v>
      </c>
    </row>
    <row r="116" spans="1:33" x14ac:dyDescent="0.2">
      <c r="A116" s="74" t="s">
        <v>897</v>
      </c>
      <c r="B116" s="75" t="e">
        <f t="shared" si="45"/>
        <v>#REF!</v>
      </c>
      <c r="C116" s="75" t="s">
        <v>754</v>
      </c>
      <c r="D116" s="97" t="s">
        <v>50</v>
      </c>
      <c r="E116" s="97" t="s">
        <v>237</v>
      </c>
      <c r="F116" s="76">
        <v>42845</v>
      </c>
      <c r="G116" s="133"/>
      <c r="H116" s="133"/>
      <c r="I116" s="75">
        <v>27</v>
      </c>
      <c r="J116" s="68">
        <f t="shared" si="38"/>
        <v>4821.4285714285716</v>
      </c>
      <c r="K116" s="68">
        <f t="shared" si="39"/>
        <v>0</v>
      </c>
      <c r="L116" s="68">
        <f t="shared" si="47"/>
        <v>241.07142857142858</v>
      </c>
      <c r="M116" s="68"/>
      <c r="N116" s="68">
        <f t="shared" si="51"/>
        <v>771.42857142857144</v>
      </c>
      <c r="O116" s="68"/>
      <c r="P116" s="68">
        <f>((1950+1441-178+1017+509)/I$3)*I116</f>
        <v>4569.75</v>
      </c>
      <c r="Q116" s="68"/>
      <c r="R116" s="68">
        <v>0</v>
      </c>
      <c r="S116" s="68">
        <v>0</v>
      </c>
      <c r="T116" s="68">
        <f t="shared" si="63"/>
        <v>10403.678571428572</v>
      </c>
      <c r="U116" s="69">
        <f t="shared" si="49"/>
        <v>578.57142857142856</v>
      </c>
      <c r="V116" s="69">
        <f t="shared" si="46"/>
        <v>183</v>
      </c>
      <c r="W116" s="68">
        <v>0</v>
      </c>
      <c r="X116" s="68">
        <v>0</v>
      </c>
      <c r="Y116" s="68">
        <f t="shared" si="36"/>
        <v>761.57142857142856</v>
      </c>
      <c r="Z116" s="68">
        <f t="shared" si="40"/>
        <v>9642.1071428571431</v>
      </c>
      <c r="AA116" s="68">
        <v>0</v>
      </c>
      <c r="AB116" s="68">
        <f t="shared" si="41"/>
        <v>9642.1071428571431</v>
      </c>
      <c r="AC116" s="69">
        <f t="shared" si="50"/>
        <v>634.01785714285722</v>
      </c>
      <c r="AD116" s="69">
        <f t="shared" si="42"/>
        <v>495</v>
      </c>
      <c r="AE116" s="70">
        <f t="shared" si="43"/>
        <v>0</v>
      </c>
      <c r="AF116" s="71">
        <f t="shared" si="64"/>
        <v>1129.0178571428573</v>
      </c>
      <c r="AG116" s="71">
        <f t="shared" si="44"/>
        <v>11532.696428571429</v>
      </c>
    </row>
    <row r="117" spans="1:33" x14ac:dyDescent="0.2">
      <c r="A117" s="74" t="s">
        <v>899</v>
      </c>
      <c r="B117" s="75" t="e">
        <f t="shared" si="45"/>
        <v>#REF!</v>
      </c>
      <c r="C117" s="75" t="s">
        <v>756</v>
      </c>
      <c r="D117" s="97" t="s">
        <v>50</v>
      </c>
      <c r="E117" s="97" t="s">
        <v>237</v>
      </c>
      <c r="F117" s="76">
        <v>42846</v>
      </c>
      <c r="G117" s="133"/>
      <c r="H117" s="133"/>
      <c r="I117" s="75">
        <v>30</v>
      </c>
      <c r="J117" s="68">
        <f t="shared" si="38"/>
        <v>5357.1428571428578</v>
      </c>
      <c r="K117" s="68">
        <f t="shared" si="39"/>
        <v>0</v>
      </c>
      <c r="L117" s="68">
        <f t="shared" si="47"/>
        <v>267.85714285714289</v>
      </c>
      <c r="M117" s="68"/>
      <c r="N117" s="68">
        <f t="shared" si="51"/>
        <v>857.14285714285722</v>
      </c>
      <c r="O117" s="68"/>
      <c r="P117" s="68">
        <f>((5248)/I$3)*I117</f>
        <v>5622.8571428571422</v>
      </c>
      <c r="Q117" s="68"/>
      <c r="R117" s="68">
        <v>0</v>
      </c>
      <c r="S117" s="68">
        <v>0</v>
      </c>
      <c r="T117" s="68">
        <f t="shared" si="63"/>
        <v>12105</v>
      </c>
      <c r="U117" s="69">
        <f t="shared" si="49"/>
        <v>642.85714285714289</v>
      </c>
      <c r="V117" s="69">
        <f t="shared" si="46"/>
        <v>212</v>
      </c>
      <c r="W117" s="68">
        <v>0</v>
      </c>
      <c r="X117" s="68">
        <v>0</v>
      </c>
      <c r="Y117" s="68">
        <f t="shared" ref="Y117:Y170" si="65">SUM(U117:X117)</f>
        <v>854.85714285714289</v>
      </c>
      <c r="Z117" s="68">
        <f t="shared" si="40"/>
        <v>11250.142857142857</v>
      </c>
      <c r="AA117" s="68">
        <v>0</v>
      </c>
      <c r="AB117" s="68">
        <f t="shared" si="41"/>
        <v>11250.142857142857</v>
      </c>
      <c r="AC117" s="69">
        <f t="shared" si="50"/>
        <v>704.46428571428578</v>
      </c>
      <c r="AD117" s="69">
        <f t="shared" si="42"/>
        <v>575</v>
      </c>
      <c r="AE117" s="70">
        <f t="shared" si="43"/>
        <v>0</v>
      </c>
      <c r="AF117" s="71">
        <f t="shared" si="64"/>
        <v>1279.4642857142858</v>
      </c>
      <c r="AG117" s="71">
        <f t="shared" si="44"/>
        <v>13384.464285714286</v>
      </c>
    </row>
    <row r="118" spans="1:33" x14ac:dyDescent="0.2">
      <c r="A118" s="74" t="s">
        <v>902</v>
      </c>
      <c r="B118" s="75" t="e">
        <f t="shared" si="45"/>
        <v>#REF!</v>
      </c>
      <c r="C118" s="75" t="s">
        <v>759</v>
      </c>
      <c r="D118" s="97" t="s">
        <v>50</v>
      </c>
      <c r="E118" s="97" t="s">
        <v>581</v>
      </c>
      <c r="F118" s="76">
        <v>42847</v>
      </c>
      <c r="G118" s="133"/>
      <c r="H118" s="133"/>
      <c r="I118" s="75">
        <v>31</v>
      </c>
      <c r="J118" s="68">
        <f t="shared" si="38"/>
        <v>5535.7142857142862</v>
      </c>
      <c r="K118" s="68">
        <f t="shared" si="39"/>
        <v>0</v>
      </c>
      <c r="L118" s="68">
        <f t="shared" si="47"/>
        <v>276.78571428571433</v>
      </c>
      <c r="M118" s="68"/>
      <c r="N118" s="68">
        <f t="shared" si="51"/>
        <v>885.71428571428578</v>
      </c>
      <c r="O118" s="68"/>
      <c r="P118" s="68">
        <f>((1950+1441-178+1017+0)/I$3)*I118</f>
        <v>4683.2142857142862</v>
      </c>
      <c r="Q118" s="68"/>
      <c r="R118" s="68">
        <v>0</v>
      </c>
      <c r="S118" s="68">
        <v>0</v>
      </c>
      <c r="T118" s="68">
        <f t="shared" si="63"/>
        <v>11381.428571428572</v>
      </c>
      <c r="U118" s="69">
        <f t="shared" si="49"/>
        <v>664.28571428571433</v>
      </c>
      <c r="V118" s="69">
        <f t="shared" si="46"/>
        <v>200</v>
      </c>
      <c r="W118" s="68">
        <v>0</v>
      </c>
      <c r="X118" s="68">
        <v>0</v>
      </c>
      <c r="Y118" s="68">
        <f t="shared" si="65"/>
        <v>864.28571428571433</v>
      </c>
      <c r="Z118" s="68">
        <f t="shared" si="40"/>
        <v>10517.142857142859</v>
      </c>
      <c r="AA118" s="68">
        <v>0</v>
      </c>
      <c r="AB118" s="68">
        <f t="shared" si="41"/>
        <v>10517.142857142859</v>
      </c>
      <c r="AC118" s="69">
        <f t="shared" si="50"/>
        <v>727.94642857142867</v>
      </c>
      <c r="AD118" s="69">
        <f t="shared" si="42"/>
        <v>541</v>
      </c>
      <c r="AE118" s="70">
        <f t="shared" si="43"/>
        <v>0</v>
      </c>
      <c r="AF118" s="71">
        <f t="shared" si="64"/>
        <v>1268.9464285714287</v>
      </c>
      <c r="AG118" s="71">
        <f t="shared" si="44"/>
        <v>12650.375000000002</v>
      </c>
    </row>
    <row r="119" spans="1:33" x14ac:dyDescent="0.2">
      <c r="A119" s="74" t="s">
        <v>903</v>
      </c>
      <c r="B119" s="75" t="e">
        <f t="shared" si="45"/>
        <v>#REF!</v>
      </c>
      <c r="C119" s="75" t="s">
        <v>760</v>
      </c>
      <c r="D119" s="97" t="s">
        <v>50</v>
      </c>
      <c r="E119" s="97" t="s">
        <v>581</v>
      </c>
      <c r="F119" s="76">
        <v>42848</v>
      </c>
      <c r="G119" s="133"/>
      <c r="H119" s="133"/>
      <c r="I119" s="75">
        <v>32</v>
      </c>
      <c r="J119" s="68">
        <f t="shared" si="38"/>
        <v>5714.2857142857147</v>
      </c>
      <c r="K119" s="68">
        <f t="shared" si="39"/>
        <v>0</v>
      </c>
      <c r="L119" s="68">
        <f t="shared" si="47"/>
        <v>285.71428571428572</v>
      </c>
      <c r="M119" s="68"/>
      <c r="N119" s="68">
        <f t="shared" si="51"/>
        <v>914.28571428571433</v>
      </c>
      <c r="O119" s="68"/>
      <c r="P119" s="68">
        <f>((1950+1441-178+1017+0)/I$3)*I119</f>
        <v>4834.2857142857147</v>
      </c>
      <c r="Q119" s="68"/>
      <c r="R119" s="68">
        <v>0</v>
      </c>
      <c r="S119" s="68">
        <v>0</v>
      </c>
      <c r="T119" s="68">
        <f t="shared" si="63"/>
        <v>11748.571428571429</v>
      </c>
      <c r="U119" s="69">
        <f t="shared" si="49"/>
        <v>685.71428571428578</v>
      </c>
      <c r="V119" s="69">
        <f t="shared" si="46"/>
        <v>206</v>
      </c>
      <c r="W119" s="68">
        <v>0</v>
      </c>
      <c r="X119" s="68">
        <v>0</v>
      </c>
      <c r="Y119" s="68">
        <f t="shared" si="65"/>
        <v>891.71428571428578</v>
      </c>
      <c r="Z119" s="68">
        <f t="shared" si="40"/>
        <v>10856.857142857143</v>
      </c>
      <c r="AA119" s="68">
        <v>0</v>
      </c>
      <c r="AB119" s="68">
        <f t="shared" si="41"/>
        <v>10856.857142857143</v>
      </c>
      <c r="AC119" s="69">
        <f t="shared" si="50"/>
        <v>751.42857142857156</v>
      </c>
      <c r="AD119" s="69">
        <f t="shared" si="42"/>
        <v>559</v>
      </c>
      <c r="AE119" s="70">
        <f t="shared" si="43"/>
        <v>0</v>
      </c>
      <c r="AF119" s="71">
        <f t="shared" si="64"/>
        <v>1310.4285714285716</v>
      </c>
      <c r="AG119" s="71">
        <f t="shared" si="44"/>
        <v>13059</v>
      </c>
    </row>
    <row r="120" spans="1:33" x14ac:dyDescent="0.2">
      <c r="A120" s="74" t="s">
        <v>904</v>
      </c>
      <c r="B120" s="75" t="e">
        <f t="shared" si="45"/>
        <v>#REF!</v>
      </c>
      <c r="C120" s="75" t="s">
        <v>761</v>
      </c>
      <c r="D120" s="97" t="s">
        <v>50</v>
      </c>
      <c r="E120" s="97" t="s">
        <v>241</v>
      </c>
      <c r="F120" s="76">
        <v>42849</v>
      </c>
      <c r="G120" s="133"/>
      <c r="H120" s="133"/>
      <c r="I120" s="75">
        <v>32</v>
      </c>
      <c r="J120" s="68">
        <f t="shared" si="38"/>
        <v>5714.2857142857147</v>
      </c>
      <c r="K120" s="68">
        <f t="shared" si="39"/>
        <v>0</v>
      </c>
      <c r="L120" s="68">
        <f t="shared" si="47"/>
        <v>285.71428571428572</v>
      </c>
      <c r="M120" s="68"/>
      <c r="N120" s="68">
        <f t="shared" si="51"/>
        <v>914.28571428571433</v>
      </c>
      <c r="O120" s="68"/>
      <c r="P120" s="68">
        <f>((1950+1441-178+1017+967)/I$3)*I120</f>
        <v>5939.4285714285716</v>
      </c>
      <c r="Q120" s="68"/>
      <c r="R120" s="68">
        <v>0</v>
      </c>
      <c r="S120" s="68">
        <v>0</v>
      </c>
      <c r="T120" s="68">
        <f t="shared" si="63"/>
        <v>12853.714285714286</v>
      </c>
      <c r="U120" s="69">
        <f t="shared" si="49"/>
        <v>685.71428571428578</v>
      </c>
      <c r="V120" s="69">
        <f t="shared" si="46"/>
        <v>225</v>
      </c>
      <c r="W120" s="68">
        <v>0</v>
      </c>
      <c r="X120" s="68">
        <v>0</v>
      </c>
      <c r="Y120" s="68">
        <f t="shared" si="65"/>
        <v>910.71428571428578</v>
      </c>
      <c r="Z120" s="101">
        <f t="shared" si="40"/>
        <v>11943</v>
      </c>
      <c r="AA120" s="68">
        <v>0</v>
      </c>
      <c r="AB120" s="68">
        <f t="shared" si="41"/>
        <v>11943</v>
      </c>
      <c r="AC120" s="69">
        <f t="shared" si="50"/>
        <v>751.42857142857156</v>
      </c>
      <c r="AD120" s="69">
        <f t="shared" si="42"/>
        <v>611</v>
      </c>
      <c r="AE120" s="70">
        <f t="shared" si="43"/>
        <v>0</v>
      </c>
      <c r="AF120" s="71">
        <f t="shared" si="64"/>
        <v>1362.4285714285716</v>
      </c>
      <c r="AG120" s="71">
        <f t="shared" si="44"/>
        <v>14216.142857142859</v>
      </c>
    </row>
    <row r="121" spans="1:33" x14ac:dyDescent="0.2">
      <c r="A121" s="74" t="s">
        <v>905</v>
      </c>
      <c r="B121" s="75" t="e">
        <f t="shared" si="45"/>
        <v>#REF!</v>
      </c>
      <c r="C121" s="75" t="s">
        <v>762</v>
      </c>
      <c r="D121" s="97" t="s">
        <v>50</v>
      </c>
      <c r="E121" s="97" t="s">
        <v>241</v>
      </c>
      <c r="F121" s="76">
        <v>42850</v>
      </c>
      <c r="G121" s="133"/>
      <c r="H121" s="133"/>
      <c r="I121" s="75">
        <v>4</v>
      </c>
      <c r="J121" s="68">
        <f t="shared" si="38"/>
        <v>714.28571428571433</v>
      </c>
      <c r="K121" s="68">
        <f t="shared" si="39"/>
        <v>0</v>
      </c>
      <c r="L121" s="68">
        <f t="shared" si="47"/>
        <v>35.714285714285715</v>
      </c>
      <c r="M121" s="68"/>
      <c r="N121" s="68">
        <f t="shared" si="51"/>
        <v>114.28571428571429</v>
      </c>
      <c r="O121" s="68"/>
      <c r="P121" s="68">
        <f>((1950+1441-178+1017+0)/I$3)*I121</f>
        <v>604.28571428571433</v>
      </c>
      <c r="Q121" s="68"/>
      <c r="R121" s="68">
        <v>0</v>
      </c>
      <c r="S121" s="68">
        <v>0</v>
      </c>
      <c r="T121" s="68">
        <f t="shared" si="63"/>
        <v>1468.5714285714287</v>
      </c>
      <c r="U121" s="69">
        <f t="shared" si="49"/>
        <v>85.714285714285722</v>
      </c>
      <c r="V121" s="69">
        <f t="shared" si="46"/>
        <v>26</v>
      </c>
      <c r="W121" s="68">
        <v>0</v>
      </c>
      <c r="X121" s="68">
        <v>0</v>
      </c>
      <c r="Y121" s="68">
        <f t="shared" si="65"/>
        <v>111.71428571428572</v>
      </c>
      <c r="Z121" s="68">
        <f t="shared" si="40"/>
        <v>1356.8571428571429</v>
      </c>
      <c r="AA121" s="68">
        <v>0</v>
      </c>
      <c r="AB121" s="68">
        <f t="shared" si="41"/>
        <v>1356.8571428571429</v>
      </c>
      <c r="AC121" s="69">
        <f t="shared" si="50"/>
        <v>93.928571428571445</v>
      </c>
      <c r="AD121" s="69">
        <f t="shared" si="42"/>
        <v>70</v>
      </c>
      <c r="AE121" s="70">
        <f t="shared" si="43"/>
        <v>0</v>
      </c>
      <c r="AF121" s="71">
        <f t="shared" si="64"/>
        <v>163.92857142857144</v>
      </c>
      <c r="AG121" s="71">
        <f t="shared" si="44"/>
        <v>1632.5</v>
      </c>
    </row>
    <row r="122" spans="1:33" x14ac:dyDescent="0.2">
      <c r="A122" s="74" t="s">
        <v>350</v>
      </c>
      <c r="B122" s="75" t="e">
        <f>#REF!+1</f>
        <v>#REF!</v>
      </c>
      <c r="C122" s="75" t="s">
        <v>989</v>
      </c>
      <c r="D122" s="97" t="s">
        <v>50</v>
      </c>
      <c r="E122" s="97" t="s">
        <v>238</v>
      </c>
      <c r="F122" s="76">
        <v>42851</v>
      </c>
      <c r="G122" s="133"/>
      <c r="H122" s="133"/>
      <c r="I122" s="75">
        <v>29</v>
      </c>
      <c r="J122" s="68">
        <f t="shared" si="38"/>
        <v>5178.5714285714294</v>
      </c>
      <c r="K122" s="68">
        <f t="shared" si="39"/>
        <v>0</v>
      </c>
      <c r="L122" s="68">
        <f t="shared" si="47"/>
        <v>258.9285714285715</v>
      </c>
      <c r="M122" s="68"/>
      <c r="N122" s="68">
        <f t="shared" si="51"/>
        <v>828.57142857142867</v>
      </c>
      <c r="O122" s="68"/>
      <c r="P122" s="68">
        <f>((4230)/I$3)*I122</f>
        <v>4381.0714285714294</v>
      </c>
      <c r="Q122" s="68"/>
      <c r="R122" s="68">
        <v>0</v>
      </c>
      <c r="S122" s="68">
        <v>0</v>
      </c>
      <c r="T122" s="68">
        <f t="shared" si="63"/>
        <v>10647.142857142859</v>
      </c>
      <c r="U122" s="69">
        <f t="shared" si="49"/>
        <v>621.42857142857144</v>
      </c>
      <c r="V122" s="69">
        <f t="shared" si="46"/>
        <v>187</v>
      </c>
      <c r="W122" s="68">
        <v>0</v>
      </c>
      <c r="X122" s="68">
        <v>0</v>
      </c>
      <c r="Y122" s="68">
        <f t="shared" si="65"/>
        <v>808.42857142857144</v>
      </c>
      <c r="Z122" s="68">
        <f t="shared" si="40"/>
        <v>9838.7142857142881</v>
      </c>
      <c r="AA122" s="68">
        <v>0</v>
      </c>
      <c r="AB122" s="68">
        <f t="shared" si="41"/>
        <v>9838.7142857142881</v>
      </c>
      <c r="AC122" s="69">
        <f t="shared" si="50"/>
        <v>680.982142857143</v>
      </c>
      <c r="AD122" s="69">
        <f t="shared" si="42"/>
        <v>506</v>
      </c>
      <c r="AE122" s="70">
        <f t="shared" si="43"/>
        <v>0</v>
      </c>
      <c r="AF122" s="71">
        <f t="shared" si="64"/>
        <v>1186.9821428571431</v>
      </c>
      <c r="AG122" s="71">
        <f t="shared" si="44"/>
        <v>11834.125000000002</v>
      </c>
    </row>
    <row r="123" spans="1:33" x14ac:dyDescent="0.2">
      <c r="A123" s="74" t="s">
        <v>1094</v>
      </c>
      <c r="B123" s="75" t="e">
        <f>#REF!+1</f>
        <v>#REF!</v>
      </c>
      <c r="C123" s="75" t="s">
        <v>947</v>
      </c>
      <c r="D123" s="97" t="s">
        <v>50</v>
      </c>
      <c r="E123" s="97" t="s">
        <v>581</v>
      </c>
      <c r="F123" s="76">
        <v>42852</v>
      </c>
      <c r="G123" s="133"/>
      <c r="H123" s="133"/>
      <c r="I123" s="75">
        <v>4</v>
      </c>
      <c r="J123" s="68">
        <f t="shared" si="38"/>
        <v>714.28571428571433</v>
      </c>
      <c r="K123" s="68">
        <f t="shared" si="39"/>
        <v>0</v>
      </c>
      <c r="L123" s="68">
        <f t="shared" si="47"/>
        <v>35.714285714285715</v>
      </c>
      <c r="M123" s="68"/>
      <c r="N123" s="68">
        <f t="shared" si="51"/>
        <v>114.28571428571429</v>
      </c>
      <c r="O123" s="68"/>
      <c r="P123" s="68">
        <f>((5757)/I$3)*I123</f>
        <v>822.42857142857144</v>
      </c>
      <c r="Q123" s="68"/>
      <c r="R123" s="68">
        <v>0</v>
      </c>
      <c r="S123" s="68">
        <v>0</v>
      </c>
      <c r="T123" s="68">
        <f t="shared" si="63"/>
        <v>1686.7142857142858</v>
      </c>
      <c r="U123" s="69">
        <f t="shared" si="49"/>
        <v>85.714285714285722</v>
      </c>
      <c r="V123" s="69">
        <f t="shared" si="46"/>
        <v>30</v>
      </c>
      <c r="W123" s="68">
        <v>0</v>
      </c>
      <c r="X123" s="68">
        <v>0</v>
      </c>
      <c r="Y123" s="68">
        <f t="shared" si="65"/>
        <v>115.71428571428572</v>
      </c>
      <c r="Z123" s="68">
        <f t="shared" si="40"/>
        <v>1571</v>
      </c>
      <c r="AA123" s="68">
        <v>0</v>
      </c>
      <c r="AB123" s="68">
        <f t="shared" si="41"/>
        <v>1571</v>
      </c>
      <c r="AC123" s="69">
        <f t="shared" si="50"/>
        <v>93.928571428571445</v>
      </c>
      <c r="AD123" s="69">
        <f t="shared" si="42"/>
        <v>81</v>
      </c>
      <c r="AE123" s="70">
        <f t="shared" si="43"/>
        <v>0</v>
      </c>
      <c r="AF123" s="71">
        <f t="shared" si="64"/>
        <v>174.92857142857144</v>
      </c>
      <c r="AG123" s="71">
        <f t="shared" si="44"/>
        <v>1861.6428571428573</v>
      </c>
    </row>
    <row r="124" spans="1:33" x14ac:dyDescent="0.2">
      <c r="A124" s="74" t="s">
        <v>1095</v>
      </c>
      <c r="B124" s="75" t="e">
        <f t="shared" si="45"/>
        <v>#REF!</v>
      </c>
      <c r="C124" s="75" t="s">
        <v>214</v>
      </c>
      <c r="D124" s="97" t="s">
        <v>50</v>
      </c>
      <c r="E124" s="97" t="s">
        <v>581</v>
      </c>
      <c r="F124" s="76">
        <v>42853</v>
      </c>
      <c r="G124" s="133"/>
      <c r="H124" s="133"/>
      <c r="I124" s="75">
        <v>16</v>
      </c>
      <c r="J124" s="68">
        <f t="shared" si="38"/>
        <v>2857.1428571428573</v>
      </c>
      <c r="K124" s="68">
        <f t="shared" si="39"/>
        <v>0</v>
      </c>
      <c r="L124" s="68">
        <f t="shared" si="47"/>
        <v>142.85714285714286</v>
      </c>
      <c r="M124" s="68"/>
      <c r="N124" s="68">
        <f t="shared" si="51"/>
        <v>457.14285714285717</v>
      </c>
      <c r="O124" s="68"/>
      <c r="P124" s="68">
        <f>((5757)/I$3)*I124</f>
        <v>3289.7142857142858</v>
      </c>
      <c r="Q124" s="68"/>
      <c r="R124" s="68">
        <v>0</v>
      </c>
      <c r="S124" s="68">
        <v>0</v>
      </c>
      <c r="T124" s="68">
        <f t="shared" si="63"/>
        <v>6746.8571428571431</v>
      </c>
      <c r="U124" s="69">
        <f t="shared" si="49"/>
        <v>342.85714285714289</v>
      </c>
      <c r="V124" s="69">
        <f t="shared" si="46"/>
        <v>119</v>
      </c>
      <c r="W124" s="68">
        <v>0</v>
      </c>
      <c r="X124" s="68">
        <v>0</v>
      </c>
      <c r="Y124" s="68">
        <f t="shared" si="65"/>
        <v>461.85714285714289</v>
      </c>
      <c r="Z124" s="68">
        <f t="shared" si="40"/>
        <v>6285</v>
      </c>
      <c r="AA124" s="68">
        <v>0</v>
      </c>
      <c r="AB124" s="68">
        <f t="shared" si="41"/>
        <v>6285</v>
      </c>
      <c r="AC124" s="69">
        <f t="shared" si="50"/>
        <v>375.71428571428578</v>
      </c>
      <c r="AD124" s="69">
        <f t="shared" si="42"/>
        <v>321</v>
      </c>
      <c r="AE124" s="70">
        <f t="shared" si="43"/>
        <v>0</v>
      </c>
      <c r="AF124" s="71">
        <f t="shared" si="64"/>
        <v>696.71428571428578</v>
      </c>
      <c r="AG124" s="71">
        <f t="shared" si="44"/>
        <v>7443.5714285714294</v>
      </c>
    </row>
    <row r="125" spans="1:33" x14ac:dyDescent="0.2">
      <c r="A125" s="74" t="s">
        <v>1096</v>
      </c>
      <c r="B125" s="75" t="e">
        <f t="shared" si="45"/>
        <v>#REF!</v>
      </c>
      <c r="C125" s="75" t="s">
        <v>950</v>
      </c>
      <c r="D125" s="97" t="s">
        <v>50</v>
      </c>
      <c r="E125" s="97" t="s">
        <v>581</v>
      </c>
      <c r="F125" s="76">
        <v>42854</v>
      </c>
      <c r="G125" s="133"/>
      <c r="H125" s="133"/>
      <c r="I125" s="75">
        <v>25</v>
      </c>
      <c r="J125" s="68">
        <f t="shared" si="38"/>
        <v>4464.2857142857147</v>
      </c>
      <c r="K125" s="68">
        <f t="shared" si="39"/>
        <v>0</v>
      </c>
      <c r="L125" s="68">
        <f t="shared" si="47"/>
        <v>223.21428571428575</v>
      </c>
      <c r="M125" s="68"/>
      <c r="N125" s="68">
        <f t="shared" si="51"/>
        <v>714.28571428571433</v>
      </c>
      <c r="O125" s="68"/>
      <c r="P125" s="68">
        <f>((5757)/I$3)*I125</f>
        <v>5140.1785714285716</v>
      </c>
      <c r="Q125" s="68"/>
      <c r="R125" s="68">
        <v>0</v>
      </c>
      <c r="S125" s="68">
        <v>0</v>
      </c>
      <c r="T125" s="68">
        <f t="shared" si="63"/>
        <v>10541.964285714286</v>
      </c>
      <c r="U125" s="69">
        <f t="shared" si="49"/>
        <v>535.71428571428578</v>
      </c>
      <c r="V125" s="69">
        <f t="shared" si="46"/>
        <v>185</v>
      </c>
      <c r="W125" s="68">
        <v>0</v>
      </c>
      <c r="X125" s="68">
        <v>0</v>
      </c>
      <c r="Y125" s="68">
        <f t="shared" si="65"/>
        <v>720.71428571428578</v>
      </c>
      <c r="Z125" s="68">
        <f t="shared" si="40"/>
        <v>9821.25</v>
      </c>
      <c r="AA125" s="68">
        <v>0</v>
      </c>
      <c r="AB125" s="68">
        <f t="shared" si="41"/>
        <v>9821.25</v>
      </c>
      <c r="AC125" s="69">
        <f t="shared" si="50"/>
        <v>587.05357142857156</v>
      </c>
      <c r="AD125" s="69">
        <f t="shared" si="42"/>
        <v>501</v>
      </c>
      <c r="AE125" s="70">
        <f t="shared" si="43"/>
        <v>0</v>
      </c>
      <c r="AF125" s="71">
        <f t="shared" si="64"/>
        <v>1088.0535714285716</v>
      </c>
      <c r="AG125" s="71">
        <f t="shared" si="44"/>
        <v>11630.017857142859</v>
      </c>
    </row>
    <row r="126" spans="1:33" x14ac:dyDescent="0.2">
      <c r="A126" s="74" t="s">
        <v>1097</v>
      </c>
      <c r="B126" s="75" t="e">
        <f t="shared" si="45"/>
        <v>#REF!</v>
      </c>
      <c r="C126" s="75" t="s">
        <v>952</v>
      </c>
      <c r="D126" s="97" t="s">
        <v>50</v>
      </c>
      <c r="E126" s="97" t="s">
        <v>234</v>
      </c>
      <c r="F126" s="76">
        <v>42855</v>
      </c>
      <c r="G126" s="133"/>
      <c r="H126" s="133"/>
      <c r="I126" s="75">
        <v>32</v>
      </c>
      <c r="J126" s="68">
        <f t="shared" si="38"/>
        <v>5714.2857142857147</v>
      </c>
      <c r="K126" s="68">
        <f t="shared" si="39"/>
        <v>0</v>
      </c>
      <c r="L126" s="68">
        <f t="shared" si="47"/>
        <v>285.71428571428572</v>
      </c>
      <c r="M126" s="68"/>
      <c r="N126" s="68">
        <f t="shared" si="51"/>
        <v>914.28571428571433</v>
      </c>
      <c r="O126" s="68"/>
      <c r="P126" s="68">
        <f>((5248)/I$3)*I126</f>
        <v>5997.7142857142853</v>
      </c>
      <c r="Q126" s="68"/>
      <c r="R126" s="68">
        <v>0</v>
      </c>
      <c r="S126" s="68">
        <v>0</v>
      </c>
      <c r="T126" s="68">
        <f t="shared" si="63"/>
        <v>12912</v>
      </c>
      <c r="U126" s="69">
        <f t="shared" si="49"/>
        <v>685.71428571428578</v>
      </c>
      <c r="V126" s="69">
        <f t="shared" si="46"/>
        <v>226</v>
      </c>
      <c r="W126" s="68">
        <v>0</v>
      </c>
      <c r="X126" s="68">
        <v>0</v>
      </c>
      <c r="Y126" s="68">
        <f t="shared" si="65"/>
        <v>911.71428571428578</v>
      </c>
      <c r="Z126" s="68">
        <f t="shared" si="40"/>
        <v>12000.285714285714</v>
      </c>
      <c r="AA126" s="68">
        <v>0</v>
      </c>
      <c r="AB126" s="68">
        <f t="shared" si="41"/>
        <v>12000.285714285714</v>
      </c>
      <c r="AC126" s="69">
        <f t="shared" si="50"/>
        <v>751.42857142857156</v>
      </c>
      <c r="AD126" s="69">
        <f t="shared" si="42"/>
        <v>614</v>
      </c>
      <c r="AE126" s="70">
        <f t="shared" si="43"/>
        <v>0</v>
      </c>
      <c r="AF126" s="71">
        <f t="shared" si="64"/>
        <v>1365.4285714285716</v>
      </c>
      <c r="AG126" s="71">
        <f t="shared" si="44"/>
        <v>14277.428571428572</v>
      </c>
    </row>
    <row r="127" spans="1:33" x14ac:dyDescent="0.2">
      <c r="A127" s="74" t="s">
        <v>1098</v>
      </c>
      <c r="B127" s="75" t="e">
        <f t="shared" si="45"/>
        <v>#REF!</v>
      </c>
      <c r="C127" s="75" t="s">
        <v>955</v>
      </c>
      <c r="D127" s="97" t="s">
        <v>50</v>
      </c>
      <c r="E127" s="97" t="s">
        <v>234</v>
      </c>
      <c r="F127" s="76">
        <v>42856</v>
      </c>
      <c r="G127" s="133"/>
      <c r="H127" s="133"/>
      <c r="I127" s="75">
        <v>29</v>
      </c>
      <c r="J127" s="68">
        <f t="shared" si="38"/>
        <v>5178.5714285714294</v>
      </c>
      <c r="K127" s="68">
        <f t="shared" si="39"/>
        <v>0</v>
      </c>
      <c r="L127" s="68">
        <f t="shared" si="47"/>
        <v>258.9285714285715</v>
      </c>
      <c r="M127" s="68"/>
      <c r="N127" s="68">
        <f t="shared" si="51"/>
        <v>828.57142857142867</v>
      </c>
      <c r="O127" s="68"/>
      <c r="P127" s="68">
        <f>((5248)/I$3)*I127</f>
        <v>5435.4285714285706</v>
      </c>
      <c r="Q127" s="68"/>
      <c r="R127" s="68">
        <v>0</v>
      </c>
      <c r="S127" s="68">
        <v>0</v>
      </c>
      <c r="T127" s="68">
        <f t="shared" ref="T127:T158" si="66">SUM(J127:S127)</f>
        <v>11701.5</v>
      </c>
      <c r="U127" s="69">
        <f t="shared" si="49"/>
        <v>621.42857142857144</v>
      </c>
      <c r="V127" s="69">
        <f t="shared" si="46"/>
        <v>205</v>
      </c>
      <c r="W127" s="68">
        <v>0</v>
      </c>
      <c r="X127" s="68">
        <v>0</v>
      </c>
      <c r="Y127" s="68">
        <f t="shared" si="65"/>
        <v>826.42857142857144</v>
      </c>
      <c r="Z127" s="68">
        <f t="shared" si="40"/>
        <v>10875.071428571429</v>
      </c>
      <c r="AA127" s="68">
        <v>0</v>
      </c>
      <c r="AB127" s="68">
        <f t="shared" si="41"/>
        <v>10875.071428571429</v>
      </c>
      <c r="AC127" s="69">
        <f t="shared" si="50"/>
        <v>680.982142857143</v>
      </c>
      <c r="AD127" s="69">
        <f t="shared" si="42"/>
        <v>556</v>
      </c>
      <c r="AE127" s="70">
        <f t="shared" si="43"/>
        <v>0</v>
      </c>
      <c r="AF127" s="71">
        <f t="shared" si="64"/>
        <v>1236.9821428571431</v>
      </c>
      <c r="AG127" s="71">
        <f t="shared" si="44"/>
        <v>12938.482142857143</v>
      </c>
    </row>
    <row r="128" spans="1:33" x14ac:dyDescent="0.2">
      <c r="A128" s="74" t="s">
        <v>1099</v>
      </c>
      <c r="B128" s="75" t="e">
        <f t="shared" si="45"/>
        <v>#REF!</v>
      </c>
      <c r="C128" s="75" t="s">
        <v>957</v>
      </c>
      <c r="D128" s="97" t="s">
        <v>50</v>
      </c>
      <c r="E128" s="97" t="s">
        <v>234</v>
      </c>
      <c r="F128" s="76">
        <v>42857</v>
      </c>
      <c r="G128" s="133"/>
      <c r="H128" s="133"/>
      <c r="I128" s="75">
        <v>29</v>
      </c>
      <c r="J128" s="68">
        <f t="shared" si="38"/>
        <v>5178.5714285714294</v>
      </c>
      <c r="K128" s="68">
        <f t="shared" si="39"/>
        <v>0</v>
      </c>
      <c r="L128" s="68">
        <f t="shared" si="47"/>
        <v>258.9285714285715</v>
      </c>
      <c r="M128" s="68"/>
      <c r="N128" s="68">
        <f t="shared" si="51"/>
        <v>828.57142857142867</v>
      </c>
      <c r="O128" s="68"/>
      <c r="P128" s="68">
        <f>((5248)/I$3)*I128</f>
        <v>5435.4285714285706</v>
      </c>
      <c r="Q128" s="68"/>
      <c r="R128" s="68">
        <v>0</v>
      </c>
      <c r="S128" s="68">
        <v>0</v>
      </c>
      <c r="T128" s="68">
        <f t="shared" si="66"/>
        <v>11701.5</v>
      </c>
      <c r="U128" s="69">
        <f t="shared" si="49"/>
        <v>621.42857142857144</v>
      </c>
      <c r="V128" s="69">
        <f t="shared" si="46"/>
        <v>205</v>
      </c>
      <c r="W128" s="68">
        <v>0</v>
      </c>
      <c r="X128" s="68">
        <v>0</v>
      </c>
      <c r="Y128" s="68">
        <f t="shared" si="65"/>
        <v>826.42857142857144</v>
      </c>
      <c r="Z128" s="68">
        <f t="shared" si="40"/>
        <v>10875.071428571429</v>
      </c>
      <c r="AA128" s="68">
        <v>0</v>
      </c>
      <c r="AB128" s="68">
        <f t="shared" si="41"/>
        <v>10875.071428571429</v>
      </c>
      <c r="AC128" s="69">
        <f t="shared" si="50"/>
        <v>680.982142857143</v>
      </c>
      <c r="AD128" s="69">
        <f t="shared" si="42"/>
        <v>556</v>
      </c>
      <c r="AE128" s="70">
        <f t="shared" si="43"/>
        <v>0</v>
      </c>
      <c r="AF128" s="71">
        <f t="shared" si="64"/>
        <v>1236.9821428571431</v>
      </c>
      <c r="AG128" s="71">
        <f t="shared" si="44"/>
        <v>12938.482142857143</v>
      </c>
    </row>
    <row r="129" spans="1:33" x14ac:dyDescent="0.2">
      <c r="A129" s="74" t="s">
        <v>1101</v>
      </c>
      <c r="B129" s="75" t="e">
        <f t="shared" si="45"/>
        <v>#REF!</v>
      </c>
      <c r="C129" s="75" t="s">
        <v>959</v>
      </c>
      <c r="D129" s="97" t="s">
        <v>50</v>
      </c>
      <c r="E129" s="97" t="s">
        <v>234</v>
      </c>
      <c r="F129" s="76">
        <v>42858</v>
      </c>
      <c r="G129" s="133"/>
      <c r="H129" s="133"/>
      <c r="I129" s="75">
        <v>31</v>
      </c>
      <c r="J129" s="68">
        <f t="shared" ref="J129:J176" si="67">(5000/I$3)*I129</f>
        <v>5535.7142857142862</v>
      </c>
      <c r="K129" s="68">
        <f t="shared" ref="K129:K176" si="68">((0)/I$3)*I129</f>
        <v>0</v>
      </c>
      <c r="L129" s="68">
        <f t="shared" si="47"/>
        <v>276.78571428571433</v>
      </c>
      <c r="M129" s="68"/>
      <c r="N129" s="68">
        <f t="shared" si="51"/>
        <v>885.71428571428578</v>
      </c>
      <c r="O129" s="68"/>
      <c r="P129" s="68">
        <f>((5248)/I$3)*I129</f>
        <v>5810.2857142857138</v>
      </c>
      <c r="Q129" s="68"/>
      <c r="R129" s="68">
        <v>0</v>
      </c>
      <c r="S129" s="68">
        <v>0</v>
      </c>
      <c r="T129" s="68">
        <f t="shared" si="66"/>
        <v>12508.5</v>
      </c>
      <c r="U129" s="69">
        <f t="shared" si="49"/>
        <v>664.28571428571433</v>
      </c>
      <c r="V129" s="69">
        <f t="shared" si="46"/>
        <v>219</v>
      </c>
      <c r="W129" s="68">
        <v>0</v>
      </c>
      <c r="X129" s="68">
        <v>0</v>
      </c>
      <c r="Y129" s="68">
        <f t="shared" si="65"/>
        <v>883.28571428571433</v>
      </c>
      <c r="Z129" s="68">
        <f t="shared" ref="Z129:Z176" si="69">T129-Y129</f>
        <v>11625.214285714286</v>
      </c>
      <c r="AA129" s="68">
        <v>0</v>
      </c>
      <c r="AB129" s="68">
        <f t="shared" ref="AB129:AB176" si="70">Z129-AA129</f>
        <v>11625.214285714286</v>
      </c>
      <c r="AC129" s="69">
        <f t="shared" si="50"/>
        <v>727.94642857142867</v>
      </c>
      <c r="AD129" s="69">
        <f t="shared" ref="AD129:AD176" si="71">CEILING((T129)*4.75%,1)</f>
        <v>595</v>
      </c>
      <c r="AE129" s="70">
        <f t="shared" ref="AE129:AE176" si="72">X129*3</f>
        <v>0</v>
      </c>
      <c r="AF129" s="71">
        <f t="shared" si="64"/>
        <v>1322.9464285714287</v>
      </c>
      <c r="AG129" s="71">
        <f t="shared" ref="AG129:AG176" si="73">T129+AF129</f>
        <v>13831.446428571429</v>
      </c>
    </row>
    <row r="130" spans="1:33" x14ac:dyDescent="0.2">
      <c r="A130" s="74" t="s">
        <v>1103</v>
      </c>
      <c r="B130" s="75" t="e">
        <f t="shared" ref="B130:B176" si="74">B129+1</f>
        <v>#REF!</v>
      </c>
      <c r="C130" s="75" t="s">
        <v>963</v>
      </c>
      <c r="D130" s="97" t="s">
        <v>50</v>
      </c>
      <c r="E130" s="97" t="s">
        <v>234</v>
      </c>
      <c r="F130" s="76">
        <v>42859</v>
      </c>
      <c r="G130" s="133"/>
      <c r="H130" s="133"/>
      <c r="I130" s="75">
        <v>28</v>
      </c>
      <c r="J130" s="68">
        <f t="shared" si="67"/>
        <v>5000</v>
      </c>
      <c r="K130" s="68">
        <f t="shared" si="68"/>
        <v>0</v>
      </c>
      <c r="L130" s="68">
        <f t="shared" si="47"/>
        <v>250</v>
      </c>
      <c r="M130" s="68"/>
      <c r="N130" s="68">
        <f t="shared" si="51"/>
        <v>800</v>
      </c>
      <c r="O130" s="68"/>
      <c r="P130" s="68">
        <f>((5248)/I$3)*I130</f>
        <v>5248</v>
      </c>
      <c r="Q130" s="68"/>
      <c r="R130" s="68">
        <v>0</v>
      </c>
      <c r="S130" s="68">
        <v>0</v>
      </c>
      <c r="T130" s="68">
        <f t="shared" si="66"/>
        <v>11298</v>
      </c>
      <c r="U130" s="69">
        <f t="shared" si="49"/>
        <v>600</v>
      </c>
      <c r="V130" s="69">
        <f t="shared" ref="V130:V177" si="75">ROUNDUP((T130*1.75%),0)</f>
        <v>198</v>
      </c>
      <c r="W130" s="68">
        <v>0</v>
      </c>
      <c r="X130" s="68">
        <v>0</v>
      </c>
      <c r="Y130" s="68">
        <f t="shared" si="65"/>
        <v>798</v>
      </c>
      <c r="Z130" s="68">
        <f t="shared" si="69"/>
        <v>10500</v>
      </c>
      <c r="AA130" s="68">
        <v>0</v>
      </c>
      <c r="AB130" s="68">
        <f t="shared" si="70"/>
        <v>10500</v>
      </c>
      <c r="AC130" s="69">
        <f t="shared" si="50"/>
        <v>657.5</v>
      </c>
      <c r="AD130" s="69">
        <f t="shared" si="71"/>
        <v>537</v>
      </c>
      <c r="AE130" s="70">
        <f t="shared" si="72"/>
        <v>0</v>
      </c>
      <c r="AF130" s="71">
        <f t="shared" si="64"/>
        <v>1194.5</v>
      </c>
      <c r="AG130" s="71">
        <f t="shared" si="73"/>
        <v>12492.5</v>
      </c>
    </row>
    <row r="131" spans="1:33" x14ac:dyDescent="0.2">
      <c r="A131" s="74" t="s">
        <v>1105</v>
      </c>
      <c r="B131" s="75" t="e">
        <f t="shared" si="74"/>
        <v>#REF!</v>
      </c>
      <c r="C131" s="75" t="s">
        <v>84</v>
      </c>
      <c r="D131" s="97" t="s">
        <v>50</v>
      </c>
      <c r="E131" s="97" t="s">
        <v>484</v>
      </c>
      <c r="F131" s="76">
        <v>42860</v>
      </c>
      <c r="G131" s="133"/>
      <c r="H131" s="133"/>
      <c r="I131" s="75">
        <v>29</v>
      </c>
      <c r="J131" s="68">
        <f t="shared" si="67"/>
        <v>5178.5714285714294</v>
      </c>
      <c r="K131" s="68">
        <f t="shared" si="68"/>
        <v>0</v>
      </c>
      <c r="L131" s="68">
        <f t="shared" si="47"/>
        <v>258.9285714285715</v>
      </c>
      <c r="M131" s="68"/>
      <c r="N131" s="68">
        <f t="shared" si="51"/>
        <v>828.57142857142867</v>
      </c>
      <c r="O131" s="68"/>
      <c r="P131" s="68">
        <f t="shared" ref="P131:P136" si="76">((4230)/I$3)*I131</f>
        <v>4381.0714285714294</v>
      </c>
      <c r="Q131" s="68"/>
      <c r="R131" s="68">
        <v>0</v>
      </c>
      <c r="S131" s="68">
        <v>0</v>
      </c>
      <c r="T131" s="68">
        <f t="shared" si="66"/>
        <v>10647.142857142859</v>
      </c>
      <c r="U131" s="69">
        <f t="shared" si="49"/>
        <v>621.42857142857144</v>
      </c>
      <c r="V131" s="69">
        <f t="shared" si="75"/>
        <v>187</v>
      </c>
      <c r="W131" s="68">
        <v>0</v>
      </c>
      <c r="X131" s="68">
        <v>0</v>
      </c>
      <c r="Y131" s="68">
        <f t="shared" si="65"/>
        <v>808.42857142857144</v>
      </c>
      <c r="Z131" s="68">
        <f t="shared" si="69"/>
        <v>9838.7142857142881</v>
      </c>
      <c r="AA131" s="68">
        <v>0</v>
      </c>
      <c r="AB131" s="68">
        <f t="shared" si="70"/>
        <v>9838.7142857142881</v>
      </c>
      <c r="AC131" s="69">
        <f t="shared" si="50"/>
        <v>680.982142857143</v>
      </c>
      <c r="AD131" s="69">
        <f t="shared" si="71"/>
        <v>506</v>
      </c>
      <c r="AE131" s="70">
        <f t="shared" si="72"/>
        <v>0</v>
      </c>
      <c r="AF131" s="71">
        <f t="shared" si="64"/>
        <v>1186.9821428571431</v>
      </c>
      <c r="AG131" s="71">
        <f t="shared" si="73"/>
        <v>11834.125000000002</v>
      </c>
    </row>
    <row r="132" spans="1:33" x14ac:dyDescent="0.2">
      <c r="A132" s="74" t="s">
        <v>1106</v>
      </c>
      <c r="B132" s="75" t="e">
        <f t="shared" si="74"/>
        <v>#REF!</v>
      </c>
      <c r="C132" s="75" t="s">
        <v>966</v>
      </c>
      <c r="D132" s="97" t="s">
        <v>50</v>
      </c>
      <c r="E132" s="97" t="s">
        <v>484</v>
      </c>
      <c r="F132" s="76">
        <v>42861</v>
      </c>
      <c r="G132" s="133"/>
      <c r="H132" s="133"/>
      <c r="I132" s="75">
        <v>28</v>
      </c>
      <c r="J132" s="68">
        <f t="shared" si="67"/>
        <v>5000</v>
      </c>
      <c r="K132" s="68">
        <f t="shared" si="68"/>
        <v>0</v>
      </c>
      <c r="L132" s="68">
        <f t="shared" si="47"/>
        <v>250</v>
      </c>
      <c r="M132" s="68"/>
      <c r="N132" s="68">
        <f t="shared" si="51"/>
        <v>800</v>
      </c>
      <c r="O132" s="68"/>
      <c r="P132" s="68">
        <f t="shared" si="76"/>
        <v>4230</v>
      </c>
      <c r="Q132" s="68"/>
      <c r="R132" s="68">
        <v>0</v>
      </c>
      <c r="S132" s="68">
        <v>0</v>
      </c>
      <c r="T132" s="68">
        <f t="shared" si="66"/>
        <v>10280</v>
      </c>
      <c r="U132" s="69">
        <f t="shared" si="49"/>
        <v>600</v>
      </c>
      <c r="V132" s="69">
        <f t="shared" si="75"/>
        <v>180</v>
      </c>
      <c r="W132" s="68">
        <v>0</v>
      </c>
      <c r="X132" s="68">
        <v>0</v>
      </c>
      <c r="Y132" s="68">
        <f t="shared" si="65"/>
        <v>780</v>
      </c>
      <c r="Z132" s="68">
        <f t="shared" si="69"/>
        <v>9500</v>
      </c>
      <c r="AA132" s="68">
        <v>0</v>
      </c>
      <c r="AB132" s="68">
        <f t="shared" si="70"/>
        <v>9500</v>
      </c>
      <c r="AC132" s="69">
        <f t="shared" si="50"/>
        <v>657.5</v>
      </c>
      <c r="AD132" s="69">
        <f t="shared" si="71"/>
        <v>489</v>
      </c>
      <c r="AE132" s="70">
        <f t="shared" si="72"/>
        <v>0</v>
      </c>
      <c r="AF132" s="71">
        <f t="shared" si="64"/>
        <v>1146.5</v>
      </c>
      <c r="AG132" s="71">
        <f t="shared" si="73"/>
        <v>11426.5</v>
      </c>
    </row>
    <row r="133" spans="1:33" x14ac:dyDescent="0.2">
      <c r="A133" s="74" t="s">
        <v>1107</v>
      </c>
      <c r="B133" s="75" t="e">
        <f t="shared" si="74"/>
        <v>#REF!</v>
      </c>
      <c r="C133" s="75" t="s">
        <v>967</v>
      </c>
      <c r="D133" s="97" t="s">
        <v>50</v>
      </c>
      <c r="E133" s="97" t="s">
        <v>484</v>
      </c>
      <c r="F133" s="76">
        <v>42862</v>
      </c>
      <c r="G133" s="133"/>
      <c r="H133" s="133"/>
      <c r="I133" s="75">
        <v>7</v>
      </c>
      <c r="J133" s="68">
        <f t="shared" si="67"/>
        <v>1250</v>
      </c>
      <c r="K133" s="68">
        <f t="shared" si="68"/>
        <v>0</v>
      </c>
      <c r="L133" s="68">
        <f t="shared" si="47"/>
        <v>62.5</v>
      </c>
      <c r="M133" s="68"/>
      <c r="N133" s="68">
        <f t="shared" si="51"/>
        <v>200</v>
      </c>
      <c r="O133" s="68"/>
      <c r="P133" s="68">
        <f t="shared" si="76"/>
        <v>1057.5</v>
      </c>
      <c r="Q133" s="68"/>
      <c r="R133" s="68">
        <v>0</v>
      </c>
      <c r="S133" s="68">
        <v>0</v>
      </c>
      <c r="T133" s="68">
        <f t="shared" si="66"/>
        <v>2570</v>
      </c>
      <c r="U133" s="69">
        <f t="shared" si="49"/>
        <v>150</v>
      </c>
      <c r="V133" s="69">
        <f t="shared" si="75"/>
        <v>45</v>
      </c>
      <c r="W133" s="68">
        <v>0</v>
      </c>
      <c r="X133" s="68">
        <v>0</v>
      </c>
      <c r="Y133" s="68">
        <f t="shared" si="65"/>
        <v>195</v>
      </c>
      <c r="Z133" s="68">
        <f t="shared" si="69"/>
        <v>2375</v>
      </c>
      <c r="AA133" s="68">
        <v>0</v>
      </c>
      <c r="AB133" s="68">
        <f t="shared" si="70"/>
        <v>2375</v>
      </c>
      <c r="AC133" s="69">
        <f t="shared" si="50"/>
        <v>164.375</v>
      </c>
      <c r="AD133" s="69">
        <f t="shared" si="71"/>
        <v>123</v>
      </c>
      <c r="AE133" s="70">
        <f t="shared" si="72"/>
        <v>0</v>
      </c>
      <c r="AF133" s="71">
        <f t="shared" si="64"/>
        <v>287.375</v>
      </c>
      <c r="AG133" s="71">
        <f t="shared" si="73"/>
        <v>2857.375</v>
      </c>
    </row>
    <row r="134" spans="1:33" x14ac:dyDescent="0.2">
      <c r="A134" s="74" t="s">
        <v>1108</v>
      </c>
      <c r="B134" s="75" t="e">
        <f t="shared" si="74"/>
        <v>#REF!</v>
      </c>
      <c r="C134" s="75" t="s">
        <v>968</v>
      </c>
      <c r="D134" s="97" t="s">
        <v>50</v>
      </c>
      <c r="E134" s="97" t="s">
        <v>484</v>
      </c>
      <c r="F134" s="76">
        <v>42863</v>
      </c>
      <c r="G134" s="133"/>
      <c r="H134" s="133"/>
      <c r="I134" s="75">
        <v>30</v>
      </c>
      <c r="J134" s="68">
        <f t="shared" si="67"/>
        <v>5357.1428571428578</v>
      </c>
      <c r="K134" s="68">
        <f t="shared" si="68"/>
        <v>0</v>
      </c>
      <c r="L134" s="68">
        <f t="shared" ref="L134:L197" si="77">(J134+K134)*5%</f>
        <v>267.85714285714289</v>
      </c>
      <c r="M134" s="68"/>
      <c r="N134" s="68">
        <f t="shared" si="51"/>
        <v>857.14285714285722</v>
      </c>
      <c r="O134" s="68"/>
      <c r="P134" s="68">
        <f t="shared" si="76"/>
        <v>4532.1428571428578</v>
      </c>
      <c r="Q134" s="68"/>
      <c r="R134" s="68">
        <v>0</v>
      </c>
      <c r="S134" s="68">
        <v>0</v>
      </c>
      <c r="T134" s="68">
        <f t="shared" si="66"/>
        <v>11014.285714285716</v>
      </c>
      <c r="U134" s="69">
        <f t="shared" ref="U134:U197" si="78">(J134+K134)*12%</f>
        <v>642.85714285714289</v>
      </c>
      <c r="V134" s="69">
        <f t="shared" si="75"/>
        <v>193</v>
      </c>
      <c r="W134" s="68">
        <v>0</v>
      </c>
      <c r="X134" s="68">
        <v>0</v>
      </c>
      <c r="Y134" s="68">
        <f t="shared" si="65"/>
        <v>835.85714285714289</v>
      </c>
      <c r="Z134" s="68">
        <f t="shared" si="69"/>
        <v>10178.428571428572</v>
      </c>
      <c r="AA134" s="68">
        <v>0</v>
      </c>
      <c r="AB134" s="68">
        <f t="shared" si="70"/>
        <v>10178.428571428572</v>
      </c>
      <c r="AC134" s="69">
        <f t="shared" ref="AC134:AC197" si="79">(J134+K134)*13.15%</f>
        <v>704.46428571428578</v>
      </c>
      <c r="AD134" s="69">
        <f t="shared" si="71"/>
        <v>524</v>
      </c>
      <c r="AE134" s="70">
        <f t="shared" si="72"/>
        <v>0</v>
      </c>
      <c r="AF134" s="71">
        <f t="shared" si="64"/>
        <v>1228.4642857142858</v>
      </c>
      <c r="AG134" s="71">
        <f t="shared" si="73"/>
        <v>12242.750000000002</v>
      </c>
    </row>
    <row r="135" spans="1:33" x14ac:dyDescent="0.2">
      <c r="A135" s="74" t="s">
        <v>1111</v>
      </c>
      <c r="B135" s="75" t="e">
        <f t="shared" si="74"/>
        <v>#REF!</v>
      </c>
      <c r="C135" s="75" t="s">
        <v>956</v>
      </c>
      <c r="D135" s="97" t="s">
        <v>50</v>
      </c>
      <c r="E135" s="97" t="s">
        <v>484</v>
      </c>
      <c r="F135" s="76">
        <v>42864</v>
      </c>
      <c r="G135" s="133"/>
      <c r="H135" s="133"/>
      <c r="I135" s="75">
        <v>30</v>
      </c>
      <c r="J135" s="68">
        <f t="shared" si="67"/>
        <v>5357.1428571428578</v>
      </c>
      <c r="K135" s="68">
        <f t="shared" si="68"/>
        <v>0</v>
      </c>
      <c r="L135" s="68">
        <f t="shared" si="77"/>
        <v>267.85714285714289</v>
      </c>
      <c r="M135" s="68"/>
      <c r="N135" s="68">
        <f t="shared" si="51"/>
        <v>857.14285714285722</v>
      </c>
      <c r="O135" s="68"/>
      <c r="P135" s="68">
        <f t="shared" si="76"/>
        <v>4532.1428571428578</v>
      </c>
      <c r="Q135" s="68"/>
      <c r="R135" s="68">
        <v>0</v>
      </c>
      <c r="S135" s="68">
        <v>0</v>
      </c>
      <c r="T135" s="68">
        <f t="shared" si="66"/>
        <v>11014.285714285716</v>
      </c>
      <c r="U135" s="69">
        <f t="shared" si="78"/>
        <v>642.85714285714289</v>
      </c>
      <c r="V135" s="69">
        <f t="shared" si="75"/>
        <v>193</v>
      </c>
      <c r="W135" s="68">
        <v>0</v>
      </c>
      <c r="X135" s="68">
        <v>0</v>
      </c>
      <c r="Y135" s="68">
        <f t="shared" si="65"/>
        <v>835.85714285714289</v>
      </c>
      <c r="Z135" s="68">
        <f t="shared" si="69"/>
        <v>10178.428571428572</v>
      </c>
      <c r="AA135" s="68">
        <v>0</v>
      </c>
      <c r="AB135" s="68">
        <f t="shared" si="70"/>
        <v>10178.428571428572</v>
      </c>
      <c r="AC135" s="69">
        <f t="shared" si="79"/>
        <v>704.46428571428578</v>
      </c>
      <c r="AD135" s="69">
        <f t="shared" si="71"/>
        <v>524</v>
      </c>
      <c r="AE135" s="70">
        <f t="shared" si="72"/>
        <v>0</v>
      </c>
      <c r="AF135" s="71">
        <f t="shared" si="64"/>
        <v>1228.4642857142858</v>
      </c>
      <c r="AG135" s="71">
        <f t="shared" si="73"/>
        <v>12242.750000000002</v>
      </c>
    </row>
    <row r="136" spans="1:33" x14ac:dyDescent="0.2">
      <c r="A136" s="74" t="s">
        <v>1112</v>
      </c>
      <c r="B136" s="75" t="e">
        <f t="shared" si="74"/>
        <v>#REF!</v>
      </c>
      <c r="C136" s="75" t="s">
        <v>973</v>
      </c>
      <c r="D136" s="97" t="s">
        <v>50</v>
      </c>
      <c r="E136" s="97" t="s">
        <v>484</v>
      </c>
      <c r="F136" s="76">
        <v>42865</v>
      </c>
      <c r="G136" s="133"/>
      <c r="H136" s="133"/>
      <c r="I136" s="75">
        <v>29</v>
      </c>
      <c r="J136" s="68">
        <f t="shared" si="67"/>
        <v>5178.5714285714294</v>
      </c>
      <c r="K136" s="68">
        <f t="shared" si="68"/>
        <v>0</v>
      </c>
      <c r="L136" s="68">
        <f t="shared" si="77"/>
        <v>258.9285714285715</v>
      </c>
      <c r="M136" s="68"/>
      <c r="N136" s="68">
        <f t="shared" ref="N136:N199" si="80">((800)/I$3)*I136</f>
        <v>828.57142857142867</v>
      </c>
      <c r="O136" s="68"/>
      <c r="P136" s="68">
        <f t="shared" si="76"/>
        <v>4381.0714285714294</v>
      </c>
      <c r="Q136" s="68"/>
      <c r="R136" s="68">
        <v>0</v>
      </c>
      <c r="S136" s="68">
        <v>0</v>
      </c>
      <c r="T136" s="68">
        <f t="shared" si="66"/>
        <v>10647.142857142859</v>
      </c>
      <c r="U136" s="69">
        <f t="shared" si="78"/>
        <v>621.42857142857144</v>
      </c>
      <c r="V136" s="69">
        <f t="shared" si="75"/>
        <v>187</v>
      </c>
      <c r="W136" s="68">
        <v>0</v>
      </c>
      <c r="X136" s="68">
        <v>0</v>
      </c>
      <c r="Y136" s="68">
        <f t="shared" si="65"/>
        <v>808.42857142857144</v>
      </c>
      <c r="Z136" s="68">
        <f t="shared" si="69"/>
        <v>9838.7142857142881</v>
      </c>
      <c r="AA136" s="68">
        <v>0</v>
      </c>
      <c r="AB136" s="68">
        <f t="shared" si="70"/>
        <v>9838.7142857142881</v>
      </c>
      <c r="AC136" s="69">
        <f t="shared" si="79"/>
        <v>680.982142857143</v>
      </c>
      <c r="AD136" s="69">
        <f t="shared" si="71"/>
        <v>506</v>
      </c>
      <c r="AE136" s="70">
        <f t="shared" si="72"/>
        <v>0</v>
      </c>
      <c r="AF136" s="71">
        <f t="shared" si="64"/>
        <v>1186.9821428571431</v>
      </c>
      <c r="AG136" s="71">
        <f t="shared" si="73"/>
        <v>11834.125000000002</v>
      </c>
    </row>
    <row r="137" spans="1:33" x14ac:dyDescent="0.2">
      <c r="A137" s="74" t="s">
        <v>1114</v>
      </c>
      <c r="B137" s="75" t="e">
        <f>#REF!+1</f>
        <v>#REF!</v>
      </c>
      <c r="C137" s="75" t="s">
        <v>969</v>
      </c>
      <c r="D137" s="97" t="s">
        <v>50</v>
      </c>
      <c r="E137" s="97" t="s">
        <v>238</v>
      </c>
      <c r="F137" s="76">
        <v>42866</v>
      </c>
      <c r="G137" s="133"/>
      <c r="H137" s="133"/>
      <c r="I137" s="75">
        <v>23</v>
      </c>
      <c r="J137" s="68">
        <f t="shared" si="67"/>
        <v>4107.1428571428578</v>
      </c>
      <c r="K137" s="68">
        <f t="shared" si="68"/>
        <v>0</v>
      </c>
      <c r="L137" s="68">
        <f t="shared" si="77"/>
        <v>205.35714285714289</v>
      </c>
      <c r="M137" s="68"/>
      <c r="N137" s="68">
        <f t="shared" si="80"/>
        <v>657.14285714285722</v>
      </c>
      <c r="O137" s="68"/>
      <c r="P137" s="68">
        <f>((5248)/I$3)*I137</f>
        <v>4310.8571428571422</v>
      </c>
      <c r="Q137" s="68"/>
      <c r="R137" s="68">
        <v>0</v>
      </c>
      <c r="S137" s="68">
        <v>0</v>
      </c>
      <c r="T137" s="68">
        <f t="shared" si="66"/>
        <v>9280.5</v>
      </c>
      <c r="U137" s="69">
        <f t="shared" si="78"/>
        <v>492.85714285714289</v>
      </c>
      <c r="V137" s="69">
        <f t="shared" si="75"/>
        <v>163</v>
      </c>
      <c r="W137" s="68">
        <v>0</v>
      </c>
      <c r="X137" s="68">
        <v>0</v>
      </c>
      <c r="Y137" s="68">
        <f t="shared" si="65"/>
        <v>655.85714285714289</v>
      </c>
      <c r="Z137" s="68">
        <f t="shared" si="69"/>
        <v>8624.6428571428569</v>
      </c>
      <c r="AA137" s="68">
        <v>0</v>
      </c>
      <c r="AB137" s="68">
        <f t="shared" si="70"/>
        <v>8624.6428571428569</v>
      </c>
      <c r="AC137" s="69">
        <f t="shared" si="79"/>
        <v>540.08928571428578</v>
      </c>
      <c r="AD137" s="69">
        <f t="shared" si="71"/>
        <v>441</v>
      </c>
      <c r="AE137" s="70">
        <f t="shared" si="72"/>
        <v>0</v>
      </c>
      <c r="AF137" s="71">
        <f t="shared" si="64"/>
        <v>981.08928571428578</v>
      </c>
      <c r="AG137" s="71">
        <f t="shared" si="73"/>
        <v>10261.589285714286</v>
      </c>
    </row>
    <row r="138" spans="1:33" x14ac:dyDescent="0.2">
      <c r="A138" s="74" t="s">
        <v>1115</v>
      </c>
      <c r="B138" s="75" t="e">
        <f t="shared" si="74"/>
        <v>#REF!</v>
      </c>
      <c r="C138" s="75" t="s">
        <v>979</v>
      </c>
      <c r="D138" s="97" t="s">
        <v>50</v>
      </c>
      <c r="E138" s="97" t="s">
        <v>238</v>
      </c>
      <c r="F138" s="76">
        <v>42867</v>
      </c>
      <c r="G138" s="133"/>
      <c r="H138" s="133"/>
      <c r="I138" s="75">
        <v>28</v>
      </c>
      <c r="J138" s="68">
        <f t="shared" si="67"/>
        <v>5000</v>
      </c>
      <c r="K138" s="68">
        <f t="shared" si="68"/>
        <v>0</v>
      </c>
      <c r="L138" s="68">
        <f t="shared" si="77"/>
        <v>250</v>
      </c>
      <c r="M138" s="68"/>
      <c r="N138" s="68">
        <f t="shared" si="80"/>
        <v>800</v>
      </c>
      <c r="O138" s="68"/>
      <c r="P138" s="68">
        <f>((5248)/I$3)*I138</f>
        <v>5248</v>
      </c>
      <c r="Q138" s="68"/>
      <c r="R138" s="68">
        <v>0</v>
      </c>
      <c r="S138" s="68">
        <v>0</v>
      </c>
      <c r="T138" s="68">
        <f t="shared" si="66"/>
        <v>11298</v>
      </c>
      <c r="U138" s="69">
        <f t="shared" si="78"/>
        <v>600</v>
      </c>
      <c r="V138" s="69">
        <f t="shared" si="75"/>
        <v>198</v>
      </c>
      <c r="W138" s="68">
        <v>0</v>
      </c>
      <c r="X138" s="68">
        <v>0</v>
      </c>
      <c r="Y138" s="68">
        <f t="shared" si="65"/>
        <v>798</v>
      </c>
      <c r="Z138" s="68">
        <f t="shared" si="69"/>
        <v>10500</v>
      </c>
      <c r="AA138" s="68">
        <v>0</v>
      </c>
      <c r="AB138" s="68">
        <f t="shared" si="70"/>
        <v>10500</v>
      </c>
      <c r="AC138" s="69">
        <f t="shared" si="79"/>
        <v>657.5</v>
      </c>
      <c r="AD138" s="69">
        <f t="shared" si="71"/>
        <v>537</v>
      </c>
      <c r="AE138" s="70">
        <f t="shared" si="72"/>
        <v>0</v>
      </c>
      <c r="AF138" s="71">
        <f t="shared" si="64"/>
        <v>1194.5</v>
      </c>
      <c r="AG138" s="71">
        <f t="shared" si="73"/>
        <v>12492.5</v>
      </c>
    </row>
    <row r="139" spans="1:33" x14ac:dyDescent="0.2">
      <c r="A139" s="74" t="s">
        <v>1116</v>
      </c>
      <c r="B139" s="75" t="e">
        <f t="shared" si="74"/>
        <v>#REF!</v>
      </c>
      <c r="C139" s="75" t="s">
        <v>980</v>
      </c>
      <c r="D139" s="97" t="s">
        <v>50</v>
      </c>
      <c r="E139" s="97" t="s">
        <v>484</v>
      </c>
      <c r="F139" s="76">
        <v>42868</v>
      </c>
      <c r="G139" s="133"/>
      <c r="H139" s="133"/>
      <c r="I139" s="75">
        <v>26</v>
      </c>
      <c r="J139" s="68">
        <f t="shared" si="67"/>
        <v>4642.8571428571431</v>
      </c>
      <c r="K139" s="68">
        <f t="shared" si="68"/>
        <v>0</v>
      </c>
      <c r="L139" s="68">
        <f t="shared" si="77"/>
        <v>232.14285714285717</v>
      </c>
      <c r="M139" s="68"/>
      <c r="N139" s="68">
        <f t="shared" si="80"/>
        <v>742.85714285714289</v>
      </c>
      <c r="O139" s="68"/>
      <c r="P139" s="68">
        <f>((4230)/I$3)*I139</f>
        <v>3927.8571428571431</v>
      </c>
      <c r="Q139" s="68"/>
      <c r="R139" s="68">
        <v>0</v>
      </c>
      <c r="S139" s="68">
        <v>0</v>
      </c>
      <c r="T139" s="68">
        <f t="shared" si="66"/>
        <v>9545.7142857142862</v>
      </c>
      <c r="U139" s="69">
        <f t="shared" si="78"/>
        <v>557.14285714285711</v>
      </c>
      <c r="V139" s="69">
        <f t="shared" si="75"/>
        <v>168</v>
      </c>
      <c r="W139" s="68">
        <v>0</v>
      </c>
      <c r="X139" s="68">
        <v>0</v>
      </c>
      <c r="Y139" s="68">
        <f t="shared" si="65"/>
        <v>725.14285714285711</v>
      </c>
      <c r="Z139" s="68">
        <f t="shared" si="69"/>
        <v>8820.5714285714294</v>
      </c>
      <c r="AA139" s="68">
        <v>0</v>
      </c>
      <c r="AB139" s="68">
        <f t="shared" si="70"/>
        <v>8820.5714285714294</v>
      </c>
      <c r="AC139" s="69">
        <f t="shared" si="79"/>
        <v>610.53571428571433</v>
      </c>
      <c r="AD139" s="69">
        <f t="shared" si="71"/>
        <v>454</v>
      </c>
      <c r="AE139" s="70">
        <f t="shared" si="72"/>
        <v>0</v>
      </c>
      <c r="AF139" s="71">
        <f t="shared" si="64"/>
        <v>1064.5357142857142</v>
      </c>
      <c r="AG139" s="71">
        <f t="shared" si="73"/>
        <v>10610.25</v>
      </c>
    </row>
    <row r="140" spans="1:33" x14ac:dyDescent="0.2">
      <c r="A140" s="74" t="s">
        <v>1117</v>
      </c>
      <c r="B140" s="75" t="e">
        <f t="shared" si="74"/>
        <v>#REF!</v>
      </c>
      <c r="C140" s="75" t="s">
        <v>981</v>
      </c>
      <c r="D140" s="97" t="s">
        <v>50</v>
      </c>
      <c r="E140" s="97" t="s">
        <v>239</v>
      </c>
      <c r="F140" s="76">
        <v>42869</v>
      </c>
      <c r="G140" s="133"/>
      <c r="H140" s="133"/>
      <c r="I140" s="75">
        <v>26</v>
      </c>
      <c r="J140" s="68">
        <f t="shared" si="67"/>
        <v>4642.8571428571431</v>
      </c>
      <c r="K140" s="68">
        <f t="shared" si="68"/>
        <v>0</v>
      </c>
      <c r="L140" s="68">
        <f t="shared" si="77"/>
        <v>232.14285714285717</v>
      </c>
      <c r="M140" s="68"/>
      <c r="N140" s="68">
        <f t="shared" si="80"/>
        <v>742.85714285714289</v>
      </c>
      <c r="O140" s="68"/>
      <c r="P140" s="68">
        <f>((4230)/I$3)*I140</f>
        <v>3927.8571428571431</v>
      </c>
      <c r="Q140" s="68"/>
      <c r="R140" s="68">
        <v>0</v>
      </c>
      <c r="S140" s="68">
        <v>0</v>
      </c>
      <c r="T140" s="68">
        <f t="shared" si="66"/>
        <v>9545.7142857142862</v>
      </c>
      <c r="U140" s="69">
        <f t="shared" si="78"/>
        <v>557.14285714285711</v>
      </c>
      <c r="V140" s="69">
        <f t="shared" si="75"/>
        <v>168</v>
      </c>
      <c r="W140" s="68">
        <v>0</v>
      </c>
      <c r="X140" s="68">
        <v>0</v>
      </c>
      <c r="Y140" s="68">
        <f t="shared" si="65"/>
        <v>725.14285714285711</v>
      </c>
      <c r="Z140" s="68">
        <f t="shared" si="69"/>
        <v>8820.5714285714294</v>
      </c>
      <c r="AA140" s="68">
        <v>0</v>
      </c>
      <c r="AB140" s="68">
        <f t="shared" si="70"/>
        <v>8820.5714285714294</v>
      </c>
      <c r="AC140" s="69">
        <f t="shared" si="79"/>
        <v>610.53571428571433</v>
      </c>
      <c r="AD140" s="69">
        <f t="shared" si="71"/>
        <v>454</v>
      </c>
      <c r="AE140" s="70">
        <f t="shared" si="72"/>
        <v>0</v>
      </c>
      <c r="AF140" s="71">
        <f t="shared" si="64"/>
        <v>1064.5357142857142</v>
      </c>
      <c r="AG140" s="71">
        <f t="shared" si="73"/>
        <v>10610.25</v>
      </c>
    </row>
    <row r="141" spans="1:33" x14ac:dyDescent="0.2">
      <c r="A141" s="74" t="s">
        <v>1119</v>
      </c>
      <c r="B141" s="75" t="e">
        <f t="shared" si="74"/>
        <v>#REF!</v>
      </c>
      <c r="C141" s="75" t="s">
        <v>983</v>
      </c>
      <c r="D141" s="97" t="s">
        <v>50</v>
      </c>
      <c r="E141" s="97" t="s">
        <v>239</v>
      </c>
      <c r="F141" s="76">
        <v>42870</v>
      </c>
      <c r="G141" s="133"/>
      <c r="H141" s="133"/>
      <c r="I141" s="75">
        <v>31</v>
      </c>
      <c r="J141" s="68">
        <f t="shared" si="67"/>
        <v>5535.7142857142862</v>
      </c>
      <c r="K141" s="68">
        <f t="shared" si="68"/>
        <v>0</v>
      </c>
      <c r="L141" s="68">
        <f t="shared" si="77"/>
        <v>276.78571428571433</v>
      </c>
      <c r="M141" s="68"/>
      <c r="N141" s="68">
        <f t="shared" si="80"/>
        <v>885.71428571428578</v>
      </c>
      <c r="O141" s="68"/>
      <c r="P141" s="68">
        <f>((4230)/I$3)*I141</f>
        <v>4683.2142857142862</v>
      </c>
      <c r="Q141" s="68"/>
      <c r="R141" s="68">
        <v>0</v>
      </c>
      <c r="S141" s="68">
        <v>0</v>
      </c>
      <c r="T141" s="68">
        <f t="shared" si="66"/>
        <v>11381.428571428572</v>
      </c>
      <c r="U141" s="69">
        <f t="shared" si="78"/>
        <v>664.28571428571433</v>
      </c>
      <c r="V141" s="69">
        <f t="shared" si="75"/>
        <v>200</v>
      </c>
      <c r="W141" s="68">
        <v>0</v>
      </c>
      <c r="X141" s="68">
        <v>0</v>
      </c>
      <c r="Y141" s="68">
        <f t="shared" si="65"/>
        <v>864.28571428571433</v>
      </c>
      <c r="Z141" s="68">
        <f t="shared" si="69"/>
        <v>10517.142857142859</v>
      </c>
      <c r="AA141" s="68">
        <v>0</v>
      </c>
      <c r="AB141" s="68">
        <f t="shared" si="70"/>
        <v>10517.142857142859</v>
      </c>
      <c r="AC141" s="69">
        <f t="shared" si="79"/>
        <v>727.94642857142867</v>
      </c>
      <c r="AD141" s="69">
        <f t="shared" si="71"/>
        <v>541</v>
      </c>
      <c r="AE141" s="70">
        <f t="shared" si="72"/>
        <v>0</v>
      </c>
      <c r="AF141" s="71">
        <f t="shared" si="64"/>
        <v>1268.9464285714287</v>
      </c>
      <c r="AG141" s="71">
        <f t="shared" si="73"/>
        <v>12650.375000000002</v>
      </c>
    </row>
    <row r="142" spans="1:33" x14ac:dyDescent="0.2">
      <c r="A142" s="74" t="s">
        <v>1120</v>
      </c>
      <c r="B142" s="75" t="e">
        <f t="shared" si="74"/>
        <v>#REF!</v>
      </c>
      <c r="C142" s="75" t="s">
        <v>984</v>
      </c>
      <c r="D142" s="97" t="s">
        <v>50</v>
      </c>
      <c r="E142" s="97" t="s">
        <v>242</v>
      </c>
      <c r="F142" s="76">
        <v>42871</v>
      </c>
      <c r="G142" s="133"/>
      <c r="H142" s="133"/>
      <c r="I142" s="75">
        <v>26</v>
      </c>
      <c r="J142" s="68">
        <f t="shared" si="67"/>
        <v>4642.8571428571431</v>
      </c>
      <c r="K142" s="68">
        <f t="shared" si="68"/>
        <v>0</v>
      </c>
      <c r="L142" s="68">
        <f t="shared" si="77"/>
        <v>232.14285714285717</v>
      </c>
      <c r="M142" s="68"/>
      <c r="N142" s="68">
        <f t="shared" si="80"/>
        <v>742.85714285714289</v>
      </c>
      <c r="O142" s="68"/>
      <c r="P142" s="68">
        <f>((4230)/I$3)*I142</f>
        <v>3927.8571428571431</v>
      </c>
      <c r="Q142" s="68"/>
      <c r="R142" s="68">
        <v>0</v>
      </c>
      <c r="S142" s="68">
        <v>0</v>
      </c>
      <c r="T142" s="68">
        <f t="shared" si="66"/>
        <v>9545.7142857142862</v>
      </c>
      <c r="U142" s="69">
        <f t="shared" si="78"/>
        <v>557.14285714285711</v>
      </c>
      <c r="V142" s="69">
        <f t="shared" si="75"/>
        <v>168</v>
      </c>
      <c r="W142" s="68">
        <v>0</v>
      </c>
      <c r="X142" s="68">
        <v>0</v>
      </c>
      <c r="Y142" s="68">
        <f t="shared" si="65"/>
        <v>725.14285714285711</v>
      </c>
      <c r="Z142" s="68">
        <f t="shared" si="69"/>
        <v>8820.5714285714294</v>
      </c>
      <c r="AA142" s="68">
        <v>0</v>
      </c>
      <c r="AB142" s="68">
        <f t="shared" si="70"/>
        <v>8820.5714285714294</v>
      </c>
      <c r="AC142" s="69">
        <f t="shared" si="79"/>
        <v>610.53571428571433</v>
      </c>
      <c r="AD142" s="69">
        <f t="shared" si="71"/>
        <v>454</v>
      </c>
      <c r="AE142" s="70">
        <f t="shared" si="72"/>
        <v>0</v>
      </c>
      <c r="AF142" s="71">
        <f t="shared" si="64"/>
        <v>1064.5357142857142</v>
      </c>
      <c r="AG142" s="71">
        <f t="shared" si="73"/>
        <v>10610.25</v>
      </c>
    </row>
    <row r="143" spans="1:33" x14ac:dyDescent="0.2">
      <c r="A143" s="74" t="s">
        <v>1122</v>
      </c>
      <c r="B143" s="75" t="e">
        <f>#REF!+1</f>
        <v>#REF!</v>
      </c>
      <c r="C143" s="75" t="s">
        <v>986</v>
      </c>
      <c r="D143" s="97" t="s">
        <v>50</v>
      </c>
      <c r="E143" s="97" t="s">
        <v>237</v>
      </c>
      <c r="F143" s="76">
        <v>42872</v>
      </c>
      <c r="G143" s="133"/>
      <c r="H143" s="133"/>
      <c r="I143" s="75">
        <v>31</v>
      </c>
      <c r="J143" s="68">
        <f t="shared" si="67"/>
        <v>5535.7142857142862</v>
      </c>
      <c r="K143" s="68">
        <f t="shared" si="68"/>
        <v>0</v>
      </c>
      <c r="L143" s="68">
        <f t="shared" si="77"/>
        <v>276.78571428571433</v>
      </c>
      <c r="M143" s="68"/>
      <c r="N143" s="68">
        <f t="shared" si="80"/>
        <v>885.71428571428578</v>
      </c>
      <c r="O143" s="68"/>
      <c r="P143" s="68">
        <f>((5248)/I$3)*I143</f>
        <v>5810.2857142857138</v>
      </c>
      <c r="Q143" s="68"/>
      <c r="R143" s="68">
        <v>0</v>
      </c>
      <c r="S143" s="68">
        <v>0</v>
      </c>
      <c r="T143" s="68">
        <f t="shared" si="66"/>
        <v>12508.5</v>
      </c>
      <c r="U143" s="69">
        <f t="shared" si="78"/>
        <v>664.28571428571433</v>
      </c>
      <c r="V143" s="69">
        <f t="shared" si="75"/>
        <v>219</v>
      </c>
      <c r="W143" s="68">
        <v>0</v>
      </c>
      <c r="X143" s="68">
        <v>0</v>
      </c>
      <c r="Y143" s="68">
        <f t="shared" si="65"/>
        <v>883.28571428571433</v>
      </c>
      <c r="Z143" s="68">
        <f t="shared" si="69"/>
        <v>11625.214285714286</v>
      </c>
      <c r="AA143" s="68">
        <v>0</v>
      </c>
      <c r="AB143" s="68">
        <f t="shared" si="70"/>
        <v>11625.214285714286</v>
      </c>
      <c r="AC143" s="69">
        <f t="shared" si="79"/>
        <v>727.94642857142867</v>
      </c>
      <c r="AD143" s="69">
        <f t="shared" si="71"/>
        <v>595</v>
      </c>
      <c r="AE143" s="70">
        <f t="shared" si="72"/>
        <v>0</v>
      </c>
      <c r="AF143" s="71">
        <f t="shared" si="64"/>
        <v>1322.9464285714287</v>
      </c>
      <c r="AG143" s="71">
        <f t="shared" si="73"/>
        <v>13831.446428571429</v>
      </c>
    </row>
    <row r="144" spans="1:33" x14ac:dyDescent="0.2">
      <c r="A144" s="74" t="s">
        <v>1123</v>
      </c>
      <c r="B144" s="75" t="e">
        <f t="shared" si="74"/>
        <v>#REF!</v>
      </c>
      <c r="C144" s="75" t="s">
        <v>987</v>
      </c>
      <c r="D144" s="97" t="s">
        <v>50</v>
      </c>
      <c r="E144" s="97" t="s">
        <v>237</v>
      </c>
      <c r="F144" s="76">
        <v>42873</v>
      </c>
      <c r="G144" s="133"/>
      <c r="H144" s="133"/>
      <c r="I144" s="75">
        <v>21</v>
      </c>
      <c r="J144" s="68">
        <f t="shared" si="67"/>
        <v>3750.0000000000005</v>
      </c>
      <c r="K144" s="68">
        <f t="shared" si="68"/>
        <v>0</v>
      </c>
      <c r="L144" s="68">
        <f t="shared" si="77"/>
        <v>187.50000000000003</v>
      </c>
      <c r="M144" s="68"/>
      <c r="N144" s="68">
        <f t="shared" si="80"/>
        <v>600</v>
      </c>
      <c r="O144" s="68"/>
      <c r="P144" s="68">
        <f>((5248)/I$3)*I144</f>
        <v>3935.9999999999995</v>
      </c>
      <c r="Q144" s="68"/>
      <c r="R144" s="68">
        <v>0</v>
      </c>
      <c r="S144" s="68">
        <v>1000</v>
      </c>
      <c r="T144" s="68">
        <f t="shared" si="66"/>
        <v>9473.5</v>
      </c>
      <c r="U144" s="69">
        <f t="shared" si="78"/>
        <v>450.00000000000006</v>
      </c>
      <c r="V144" s="69">
        <f t="shared" si="75"/>
        <v>166</v>
      </c>
      <c r="W144" s="68">
        <v>0</v>
      </c>
      <c r="X144" s="68">
        <v>0</v>
      </c>
      <c r="Y144" s="68">
        <f t="shared" si="65"/>
        <v>616</v>
      </c>
      <c r="Z144" s="68">
        <f t="shared" si="69"/>
        <v>8857.5</v>
      </c>
      <c r="AA144" s="68">
        <v>0</v>
      </c>
      <c r="AB144" s="68">
        <f t="shared" si="70"/>
        <v>8857.5</v>
      </c>
      <c r="AC144" s="69">
        <f t="shared" si="79"/>
        <v>493.12500000000006</v>
      </c>
      <c r="AD144" s="69">
        <f t="shared" si="71"/>
        <v>450</v>
      </c>
      <c r="AE144" s="70">
        <f t="shared" si="72"/>
        <v>0</v>
      </c>
      <c r="AF144" s="71">
        <f t="shared" si="64"/>
        <v>943.125</v>
      </c>
      <c r="AG144" s="71">
        <f t="shared" si="73"/>
        <v>10416.625</v>
      </c>
    </row>
    <row r="145" spans="1:33" x14ac:dyDescent="0.2">
      <c r="A145" s="74" t="s">
        <v>1124</v>
      </c>
      <c r="B145" s="75" t="e">
        <f t="shared" si="74"/>
        <v>#REF!</v>
      </c>
      <c r="C145" s="75" t="s">
        <v>988</v>
      </c>
      <c r="D145" s="97" t="s">
        <v>50</v>
      </c>
      <c r="E145" s="97" t="s">
        <v>241</v>
      </c>
      <c r="F145" s="76">
        <v>42874</v>
      </c>
      <c r="G145" s="133"/>
      <c r="H145" s="133"/>
      <c r="I145" s="75">
        <v>15.5</v>
      </c>
      <c r="J145" s="68">
        <f t="shared" si="67"/>
        <v>2767.8571428571431</v>
      </c>
      <c r="K145" s="68">
        <f t="shared" si="68"/>
        <v>0</v>
      </c>
      <c r="L145" s="68">
        <f t="shared" si="77"/>
        <v>138.39285714285717</v>
      </c>
      <c r="M145" s="68"/>
      <c r="N145" s="68">
        <f t="shared" si="80"/>
        <v>442.85714285714289</v>
      </c>
      <c r="O145" s="68"/>
      <c r="P145" s="68">
        <f>((4230)/I$3)*I145</f>
        <v>2341.6071428571431</v>
      </c>
      <c r="Q145" s="68"/>
      <c r="R145" s="68">
        <v>0</v>
      </c>
      <c r="S145" s="68">
        <v>0</v>
      </c>
      <c r="T145" s="68">
        <f t="shared" si="66"/>
        <v>5690.7142857142862</v>
      </c>
      <c r="U145" s="69">
        <f t="shared" si="78"/>
        <v>332.14285714285717</v>
      </c>
      <c r="V145" s="69">
        <f t="shared" si="75"/>
        <v>100</v>
      </c>
      <c r="W145" s="68">
        <v>0</v>
      </c>
      <c r="X145" s="68">
        <v>0</v>
      </c>
      <c r="Y145" s="68">
        <f t="shared" si="65"/>
        <v>432.14285714285717</v>
      </c>
      <c r="Z145" s="68">
        <f t="shared" si="69"/>
        <v>5258.5714285714294</v>
      </c>
      <c r="AA145" s="68">
        <v>0</v>
      </c>
      <c r="AB145" s="68">
        <f t="shared" si="70"/>
        <v>5258.5714285714294</v>
      </c>
      <c r="AC145" s="69">
        <f t="shared" si="79"/>
        <v>363.97321428571433</v>
      </c>
      <c r="AD145" s="69">
        <f t="shared" si="71"/>
        <v>271</v>
      </c>
      <c r="AE145" s="70">
        <f t="shared" si="72"/>
        <v>0</v>
      </c>
      <c r="AF145" s="71">
        <f t="shared" si="64"/>
        <v>634.97321428571433</v>
      </c>
      <c r="AG145" s="71">
        <f t="shared" si="73"/>
        <v>6325.6875000000009</v>
      </c>
    </row>
    <row r="146" spans="1:33" x14ac:dyDescent="0.2">
      <c r="A146" s="74" t="s">
        <v>1292</v>
      </c>
      <c r="B146" s="75" t="e">
        <f t="shared" si="74"/>
        <v>#REF!</v>
      </c>
      <c r="C146" s="75" t="s">
        <v>1040</v>
      </c>
      <c r="D146" s="97" t="s">
        <v>50</v>
      </c>
      <c r="E146" s="97" t="s">
        <v>242</v>
      </c>
      <c r="F146" s="76">
        <v>42875</v>
      </c>
      <c r="G146" s="133"/>
      <c r="H146" s="133"/>
      <c r="I146" s="75">
        <v>30</v>
      </c>
      <c r="J146" s="68">
        <f t="shared" si="67"/>
        <v>5357.1428571428578</v>
      </c>
      <c r="K146" s="68">
        <f t="shared" si="68"/>
        <v>0</v>
      </c>
      <c r="L146" s="68">
        <f t="shared" si="77"/>
        <v>267.85714285714289</v>
      </c>
      <c r="M146" s="68"/>
      <c r="N146" s="68">
        <f t="shared" si="80"/>
        <v>857.14285714285722</v>
      </c>
      <c r="O146" s="68"/>
      <c r="P146" s="68">
        <f>((4230)/I$3)*I146</f>
        <v>4532.1428571428578</v>
      </c>
      <c r="Q146" s="68"/>
      <c r="R146" s="68">
        <v>0</v>
      </c>
      <c r="S146" s="68">
        <v>0</v>
      </c>
      <c r="T146" s="68">
        <f t="shared" si="66"/>
        <v>11014.285714285716</v>
      </c>
      <c r="U146" s="69">
        <f t="shared" si="78"/>
        <v>642.85714285714289</v>
      </c>
      <c r="V146" s="69">
        <f t="shared" si="75"/>
        <v>193</v>
      </c>
      <c r="W146" s="68">
        <v>0</v>
      </c>
      <c r="X146" s="68">
        <v>0</v>
      </c>
      <c r="Y146" s="68">
        <f t="shared" si="65"/>
        <v>835.85714285714289</v>
      </c>
      <c r="Z146" s="68">
        <f t="shared" si="69"/>
        <v>10178.428571428572</v>
      </c>
      <c r="AA146" s="68">
        <v>0</v>
      </c>
      <c r="AB146" s="68">
        <f t="shared" si="70"/>
        <v>10178.428571428572</v>
      </c>
      <c r="AC146" s="69">
        <f t="shared" si="79"/>
        <v>704.46428571428578</v>
      </c>
      <c r="AD146" s="69">
        <f t="shared" si="71"/>
        <v>524</v>
      </c>
      <c r="AE146" s="70">
        <f t="shared" si="72"/>
        <v>0</v>
      </c>
      <c r="AF146" s="71">
        <f t="shared" ref="AF146:AF193" si="81">SUM(AC146:AE146)</f>
        <v>1228.4642857142858</v>
      </c>
      <c r="AG146" s="71">
        <f t="shared" si="73"/>
        <v>12242.750000000002</v>
      </c>
    </row>
    <row r="147" spans="1:33" x14ac:dyDescent="0.2">
      <c r="A147" s="74" t="s">
        <v>1294</v>
      </c>
      <c r="B147" s="75" t="e">
        <f t="shared" si="74"/>
        <v>#REF!</v>
      </c>
      <c r="C147" s="75" t="s">
        <v>1042</v>
      </c>
      <c r="D147" s="97" t="s">
        <v>50</v>
      </c>
      <c r="E147" s="97" t="s">
        <v>238</v>
      </c>
      <c r="F147" s="76">
        <v>42876</v>
      </c>
      <c r="G147" s="133"/>
      <c r="H147" s="133"/>
      <c r="I147" s="75">
        <v>31</v>
      </c>
      <c r="J147" s="68">
        <f t="shared" si="67"/>
        <v>5535.7142857142862</v>
      </c>
      <c r="K147" s="68">
        <f t="shared" si="68"/>
        <v>0</v>
      </c>
      <c r="L147" s="68">
        <f t="shared" si="77"/>
        <v>276.78571428571433</v>
      </c>
      <c r="M147" s="68"/>
      <c r="N147" s="68">
        <f t="shared" si="80"/>
        <v>885.71428571428578</v>
      </c>
      <c r="O147" s="68"/>
      <c r="P147" s="68">
        <f>((5248)/I$3)*I147</f>
        <v>5810.2857142857138</v>
      </c>
      <c r="Q147" s="68"/>
      <c r="R147" s="68">
        <v>0</v>
      </c>
      <c r="S147" s="68">
        <v>0</v>
      </c>
      <c r="T147" s="68">
        <f t="shared" si="66"/>
        <v>12508.5</v>
      </c>
      <c r="U147" s="69">
        <f t="shared" si="78"/>
        <v>664.28571428571433</v>
      </c>
      <c r="V147" s="69">
        <f t="shared" si="75"/>
        <v>219</v>
      </c>
      <c r="W147" s="68">
        <v>0</v>
      </c>
      <c r="X147" s="68">
        <v>0</v>
      </c>
      <c r="Y147" s="68">
        <f t="shared" si="65"/>
        <v>883.28571428571433</v>
      </c>
      <c r="Z147" s="68">
        <f t="shared" si="69"/>
        <v>11625.214285714286</v>
      </c>
      <c r="AA147" s="68">
        <v>0</v>
      </c>
      <c r="AB147" s="68">
        <f t="shared" si="70"/>
        <v>11625.214285714286</v>
      </c>
      <c r="AC147" s="69">
        <f t="shared" si="79"/>
        <v>727.94642857142867</v>
      </c>
      <c r="AD147" s="69">
        <f t="shared" si="71"/>
        <v>595</v>
      </c>
      <c r="AE147" s="70">
        <f t="shared" si="72"/>
        <v>0</v>
      </c>
      <c r="AF147" s="71">
        <f t="shared" si="81"/>
        <v>1322.9464285714287</v>
      </c>
      <c r="AG147" s="71">
        <f t="shared" si="73"/>
        <v>13831.446428571429</v>
      </c>
    </row>
    <row r="148" spans="1:33" x14ac:dyDescent="0.2">
      <c r="A148" s="74" t="s">
        <v>1295</v>
      </c>
      <c r="B148" s="75" t="e">
        <f t="shared" si="74"/>
        <v>#REF!</v>
      </c>
      <c r="C148" s="75" t="s">
        <v>1043</v>
      </c>
      <c r="D148" s="97" t="s">
        <v>50</v>
      </c>
      <c r="E148" s="97" t="s">
        <v>239</v>
      </c>
      <c r="F148" s="76">
        <v>42877</v>
      </c>
      <c r="G148" s="133"/>
      <c r="H148" s="133"/>
      <c r="I148" s="75">
        <v>32</v>
      </c>
      <c r="J148" s="68">
        <f t="shared" si="67"/>
        <v>5714.2857142857147</v>
      </c>
      <c r="K148" s="68">
        <f t="shared" si="68"/>
        <v>0</v>
      </c>
      <c r="L148" s="68">
        <f t="shared" si="77"/>
        <v>285.71428571428572</v>
      </c>
      <c r="M148" s="68"/>
      <c r="N148" s="68">
        <f t="shared" si="80"/>
        <v>914.28571428571433</v>
      </c>
      <c r="O148" s="68"/>
      <c r="P148" s="68">
        <f>((4230)/I$3)*I148</f>
        <v>4834.2857142857147</v>
      </c>
      <c r="Q148" s="68"/>
      <c r="R148" s="68">
        <v>0</v>
      </c>
      <c r="S148" s="68">
        <v>0</v>
      </c>
      <c r="T148" s="68">
        <f t="shared" si="66"/>
        <v>11748.571428571429</v>
      </c>
      <c r="U148" s="69">
        <f t="shared" si="78"/>
        <v>685.71428571428578</v>
      </c>
      <c r="V148" s="69">
        <f t="shared" si="75"/>
        <v>206</v>
      </c>
      <c r="W148" s="68">
        <v>0</v>
      </c>
      <c r="X148" s="68">
        <v>0</v>
      </c>
      <c r="Y148" s="68">
        <f t="shared" si="65"/>
        <v>891.71428571428578</v>
      </c>
      <c r="Z148" s="68">
        <f t="shared" si="69"/>
        <v>10856.857142857143</v>
      </c>
      <c r="AA148" s="68">
        <v>0</v>
      </c>
      <c r="AB148" s="68">
        <f t="shared" si="70"/>
        <v>10856.857142857143</v>
      </c>
      <c r="AC148" s="69">
        <f t="shared" si="79"/>
        <v>751.42857142857156</v>
      </c>
      <c r="AD148" s="69">
        <f t="shared" si="71"/>
        <v>559</v>
      </c>
      <c r="AE148" s="70">
        <f t="shared" si="72"/>
        <v>0</v>
      </c>
      <c r="AF148" s="71">
        <f t="shared" si="81"/>
        <v>1310.4285714285716</v>
      </c>
      <c r="AG148" s="71">
        <f t="shared" si="73"/>
        <v>13059</v>
      </c>
    </row>
    <row r="149" spans="1:33" x14ac:dyDescent="0.2">
      <c r="A149" s="74" t="s">
        <v>1297</v>
      </c>
      <c r="B149" s="75" t="e">
        <f>#REF!+1</f>
        <v>#REF!</v>
      </c>
      <c r="C149" s="75" t="s">
        <v>1045</v>
      </c>
      <c r="D149" s="97" t="s">
        <v>50</v>
      </c>
      <c r="E149" s="97" t="s">
        <v>581</v>
      </c>
      <c r="F149" s="76">
        <v>42878</v>
      </c>
      <c r="G149" s="133"/>
      <c r="H149" s="133"/>
      <c r="I149" s="75">
        <v>27</v>
      </c>
      <c r="J149" s="68">
        <f t="shared" si="67"/>
        <v>4821.4285714285716</v>
      </c>
      <c r="K149" s="68">
        <f t="shared" si="68"/>
        <v>0</v>
      </c>
      <c r="L149" s="68">
        <f t="shared" si="77"/>
        <v>241.07142857142858</v>
      </c>
      <c r="M149" s="68"/>
      <c r="N149" s="68">
        <f t="shared" si="80"/>
        <v>771.42857142857144</v>
      </c>
      <c r="O149" s="68"/>
      <c r="P149" s="68">
        <f>((4230)/I$3)*I149</f>
        <v>4078.9285714285716</v>
      </c>
      <c r="Q149" s="68"/>
      <c r="R149" s="68">
        <v>0</v>
      </c>
      <c r="S149" s="68">
        <v>0</v>
      </c>
      <c r="T149" s="68">
        <f t="shared" si="66"/>
        <v>9912.8571428571431</v>
      </c>
      <c r="U149" s="69">
        <f t="shared" si="78"/>
        <v>578.57142857142856</v>
      </c>
      <c r="V149" s="69">
        <f t="shared" si="75"/>
        <v>174</v>
      </c>
      <c r="W149" s="68">
        <v>0</v>
      </c>
      <c r="X149" s="68">
        <v>0</v>
      </c>
      <c r="Y149" s="68">
        <f t="shared" si="65"/>
        <v>752.57142857142856</v>
      </c>
      <c r="Z149" s="68">
        <f t="shared" si="69"/>
        <v>9160.2857142857138</v>
      </c>
      <c r="AA149" s="68">
        <v>0</v>
      </c>
      <c r="AB149" s="68">
        <f t="shared" si="70"/>
        <v>9160.2857142857138</v>
      </c>
      <c r="AC149" s="69">
        <f t="shared" si="79"/>
        <v>634.01785714285722</v>
      </c>
      <c r="AD149" s="69">
        <f t="shared" si="71"/>
        <v>471</v>
      </c>
      <c r="AE149" s="70">
        <f t="shared" si="72"/>
        <v>0</v>
      </c>
      <c r="AF149" s="71">
        <f t="shared" si="81"/>
        <v>1105.0178571428573</v>
      </c>
      <c r="AG149" s="71">
        <f t="shared" si="73"/>
        <v>11017.875</v>
      </c>
    </row>
    <row r="150" spans="1:33" x14ac:dyDescent="0.2">
      <c r="A150" s="74" t="s">
        <v>1168</v>
      </c>
      <c r="B150" s="75" t="e">
        <f t="shared" si="74"/>
        <v>#REF!</v>
      </c>
      <c r="C150" s="75" t="s">
        <v>949</v>
      </c>
      <c r="D150" s="97" t="s">
        <v>50</v>
      </c>
      <c r="E150" s="97" t="s">
        <v>581</v>
      </c>
      <c r="F150" s="76">
        <v>42879</v>
      </c>
      <c r="G150" s="133"/>
      <c r="H150" s="133"/>
      <c r="I150" s="75">
        <v>11.5</v>
      </c>
      <c r="J150" s="68">
        <f t="shared" si="67"/>
        <v>2053.5714285714289</v>
      </c>
      <c r="K150" s="68">
        <f t="shared" si="68"/>
        <v>0</v>
      </c>
      <c r="L150" s="68">
        <f t="shared" si="77"/>
        <v>102.67857142857144</v>
      </c>
      <c r="M150" s="68"/>
      <c r="N150" s="68">
        <f t="shared" si="80"/>
        <v>328.57142857142861</v>
      </c>
      <c r="O150" s="68"/>
      <c r="P150" s="68">
        <f>((8811)/I$3)*I150</f>
        <v>3618.8035714285716</v>
      </c>
      <c r="Q150" s="68"/>
      <c r="R150" s="68">
        <v>0</v>
      </c>
      <c r="S150" s="68">
        <v>0</v>
      </c>
      <c r="T150" s="68">
        <f t="shared" si="66"/>
        <v>6103.625</v>
      </c>
      <c r="U150" s="69">
        <f t="shared" si="78"/>
        <v>246.42857142857144</v>
      </c>
      <c r="V150" s="69">
        <f t="shared" si="75"/>
        <v>107</v>
      </c>
      <c r="W150" s="68">
        <v>0</v>
      </c>
      <c r="X150" s="68">
        <v>0</v>
      </c>
      <c r="Y150" s="68">
        <f t="shared" si="65"/>
        <v>353.42857142857144</v>
      </c>
      <c r="Z150" s="68">
        <f t="shared" si="69"/>
        <v>5750.1964285714284</v>
      </c>
      <c r="AA150" s="68">
        <v>0</v>
      </c>
      <c r="AB150" s="68">
        <f t="shared" si="70"/>
        <v>5750.1964285714284</v>
      </c>
      <c r="AC150" s="69">
        <f t="shared" si="79"/>
        <v>270.04464285714289</v>
      </c>
      <c r="AD150" s="69">
        <f t="shared" si="71"/>
        <v>290</v>
      </c>
      <c r="AE150" s="70">
        <f t="shared" si="72"/>
        <v>0</v>
      </c>
      <c r="AF150" s="71">
        <f t="shared" si="81"/>
        <v>560.04464285714289</v>
      </c>
      <c r="AG150" s="71">
        <f t="shared" si="73"/>
        <v>6663.6696428571431</v>
      </c>
    </row>
    <row r="151" spans="1:33" x14ac:dyDescent="0.2">
      <c r="A151" s="74" t="s">
        <v>1298</v>
      </c>
      <c r="B151" s="75" t="e">
        <f t="shared" si="74"/>
        <v>#REF!</v>
      </c>
      <c r="C151" s="75" t="s">
        <v>403</v>
      </c>
      <c r="D151" s="97" t="s">
        <v>50</v>
      </c>
      <c r="E151" s="97" t="s">
        <v>581</v>
      </c>
      <c r="F151" s="76">
        <v>42880</v>
      </c>
      <c r="G151" s="133"/>
      <c r="H151" s="133"/>
      <c r="I151" s="75">
        <v>14</v>
      </c>
      <c r="J151" s="68">
        <f t="shared" si="67"/>
        <v>2500</v>
      </c>
      <c r="K151" s="68">
        <f t="shared" si="68"/>
        <v>0</v>
      </c>
      <c r="L151" s="68">
        <f t="shared" si="77"/>
        <v>125</v>
      </c>
      <c r="M151" s="68"/>
      <c r="N151" s="68">
        <f t="shared" si="80"/>
        <v>400</v>
      </c>
      <c r="O151" s="68"/>
      <c r="P151" s="68">
        <f>((5248+1527)/I$3)*I151</f>
        <v>3387.5</v>
      </c>
      <c r="Q151" s="68"/>
      <c r="R151" s="68">
        <v>0</v>
      </c>
      <c r="S151" s="68">
        <v>0</v>
      </c>
      <c r="T151" s="68">
        <f t="shared" si="66"/>
        <v>6412.5</v>
      </c>
      <c r="U151" s="69">
        <f t="shared" si="78"/>
        <v>300</v>
      </c>
      <c r="V151" s="69">
        <f t="shared" si="75"/>
        <v>113</v>
      </c>
      <c r="W151" s="68">
        <v>0</v>
      </c>
      <c r="X151" s="68">
        <v>0</v>
      </c>
      <c r="Y151" s="68">
        <f t="shared" si="65"/>
        <v>413</v>
      </c>
      <c r="Z151" s="68">
        <f t="shared" si="69"/>
        <v>5999.5</v>
      </c>
      <c r="AA151" s="68">
        <v>0</v>
      </c>
      <c r="AB151" s="68">
        <f t="shared" si="70"/>
        <v>5999.5</v>
      </c>
      <c r="AC151" s="69">
        <f t="shared" si="79"/>
        <v>328.75</v>
      </c>
      <c r="AD151" s="69">
        <f t="shared" si="71"/>
        <v>305</v>
      </c>
      <c r="AE151" s="70">
        <f t="shared" si="72"/>
        <v>0</v>
      </c>
      <c r="AF151" s="71">
        <f t="shared" si="81"/>
        <v>633.75</v>
      </c>
      <c r="AG151" s="71">
        <f t="shared" si="73"/>
        <v>7046.25</v>
      </c>
    </row>
    <row r="152" spans="1:33" x14ac:dyDescent="0.2">
      <c r="A152" s="74" t="s">
        <v>1299</v>
      </c>
      <c r="B152" s="75" t="e">
        <f t="shared" si="74"/>
        <v>#REF!</v>
      </c>
      <c r="C152" s="75" t="s">
        <v>1046</v>
      </c>
      <c r="D152" s="97" t="s">
        <v>50</v>
      </c>
      <c r="E152" s="97" t="s">
        <v>581</v>
      </c>
      <c r="F152" s="76">
        <v>42881</v>
      </c>
      <c r="G152" s="133"/>
      <c r="H152" s="133"/>
      <c r="I152" s="75">
        <v>28</v>
      </c>
      <c r="J152" s="68">
        <f t="shared" si="67"/>
        <v>5000</v>
      </c>
      <c r="K152" s="68">
        <f t="shared" si="68"/>
        <v>0</v>
      </c>
      <c r="L152" s="68">
        <f t="shared" si="77"/>
        <v>250</v>
      </c>
      <c r="M152" s="68"/>
      <c r="N152" s="68">
        <f t="shared" si="80"/>
        <v>800</v>
      </c>
      <c r="O152" s="68"/>
      <c r="P152" s="68">
        <f>((5248+509)/I$3)*I152</f>
        <v>5757</v>
      </c>
      <c r="Q152" s="68"/>
      <c r="R152" s="68">
        <v>0</v>
      </c>
      <c r="S152" s="68">
        <v>0</v>
      </c>
      <c r="T152" s="68">
        <f t="shared" si="66"/>
        <v>11807</v>
      </c>
      <c r="U152" s="69">
        <f t="shared" si="78"/>
        <v>600</v>
      </c>
      <c r="V152" s="69">
        <f t="shared" si="75"/>
        <v>207</v>
      </c>
      <c r="W152" s="68">
        <v>0</v>
      </c>
      <c r="X152" s="68">
        <v>0</v>
      </c>
      <c r="Y152" s="68">
        <f t="shared" si="65"/>
        <v>807</v>
      </c>
      <c r="Z152" s="68">
        <f t="shared" si="69"/>
        <v>11000</v>
      </c>
      <c r="AA152" s="68">
        <v>0</v>
      </c>
      <c r="AB152" s="68">
        <f t="shared" si="70"/>
        <v>11000</v>
      </c>
      <c r="AC152" s="69">
        <f t="shared" si="79"/>
        <v>657.5</v>
      </c>
      <c r="AD152" s="69">
        <f t="shared" si="71"/>
        <v>561</v>
      </c>
      <c r="AE152" s="70">
        <f t="shared" si="72"/>
        <v>0</v>
      </c>
      <c r="AF152" s="71">
        <f t="shared" si="81"/>
        <v>1218.5</v>
      </c>
      <c r="AG152" s="71">
        <f t="shared" si="73"/>
        <v>13025.5</v>
      </c>
    </row>
    <row r="153" spans="1:33" x14ac:dyDescent="0.2">
      <c r="A153" s="74" t="s">
        <v>1301</v>
      </c>
      <c r="B153" s="75" t="e">
        <f t="shared" si="74"/>
        <v>#REF!</v>
      </c>
      <c r="C153" s="75" t="s">
        <v>1048</v>
      </c>
      <c r="D153" s="97" t="s">
        <v>50</v>
      </c>
      <c r="E153" s="97" t="s">
        <v>241</v>
      </c>
      <c r="F153" s="76">
        <v>42882</v>
      </c>
      <c r="G153" s="133"/>
      <c r="H153" s="133"/>
      <c r="I153" s="75">
        <v>23</v>
      </c>
      <c r="J153" s="68">
        <f t="shared" si="67"/>
        <v>4107.1428571428578</v>
      </c>
      <c r="K153" s="68">
        <f t="shared" si="68"/>
        <v>0</v>
      </c>
      <c r="L153" s="68">
        <f t="shared" si="77"/>
        <v>205.35714285714289</v>
      </c>
      <c r="M153" s="68"/>
      <c r="N153" s="68">
        <f t="shared" si="80"/>
        <v>657.14285714285722</v>
      </c>
      <c r="O153" s="68"/>
      <c r="P153" s="68">
        <f>((4230)/I$3)*I153</f>
        <v>3474.6428571428573</v>
      </c>
      <c r="Q153" s="68"/>
      <c r="R153" s="68">
        <v>0</v>
      </c>
      <c r="S153" s="68">
        <v>0</v>
      </c>
      <c r="T153" s="68">
        <f t="shared" si="66"/>
        <v>8444.2857142857156</v>
      </c>
      <c r="U153" s="69">
        <f t="shared" si="78"/>
        <v>492.85714285714289</v>
      </c>
      <c r="V153" s="69">
        <f t="shared" si="75"/>
        <v>148</v>
      </c>
      <c r="W153" s="68">
        <v>0</v>
      </c>
      <c r="X153" s="68">
        <v>0</v>
      </c>
      <c r="Y153" s="68">
        <f t="shared" si="65"/>
        <v>640.85714285714289</v>
      </c>
      <c r="Z153" s="68">
        <f t="shared" si="69"/>
        <v>7803.4285714285725</v>
      </c>
      <c r="AA153" s="68">
        <v>0</v>
      </c>
      <c r="AB153" s="68">
        <f t="shared" si="70"/>
        <v>7803.4285714285725</v>
      </c>
      <c r="AC153" s="69">
        <f t="shared" si="79"/>
        <v>540.08928571428578</v>
      </c>
      <c r="AD153" s="69">
        <f t="shared" si="71"/>
        <v>402</v>
      </c>
      <c r="AE153" s="70">
        <f t="shared" si="72"/>
        <v>0</v>
      </c>
      <c r="AF153" s="71">
        <f t="shared" si="81"/>
        <v>942.08928571428578</v>
      </c>
      <c r="AG153" s="71">
        <f t="shared" si="73"/>
        <v>9386.3750000000018</v>
      </c>
    </row>
    <row r="154" spans="1:33" x14ac:dyDescent="0.2">
      <c r="A154" s="74" t="s">
        <v>1302</v>
      </c>
      <c r="B154" s="75" t="e">
        <f t="shared" si="74"/>
        <v>#REF!</v>
      </c>
      <c r="C154" s="75" t="s">
        <v>1049</v>
      </c>
      <c r="D154" s="97" t="s">
        <v>50</v>
      </c>
      <c r="E154" s="97" t="s">
        <v>1039</v>
      </c>
      <c r="F154" s="76">
        <v>42883</v>
      </c>
      <c r="G154" s="133"/>
      <c r="H154" s="133"/>
      <c r="I154" s="75">
        <v>31</v>
      </c>
      <c r="J154" s="68">
        <f t="shared" si="67"/>
        <v>5535.7142857142862</v>
      </c>
      <c r="K154" s="68">
        <f t="shared" si="68"/>
        <v>0</v>
      </c>
      <c r="L154" s="68">
        <f t="shared" si="77"/>
        <v>276.78571428571433</v>
      </c>
      <c r="M154" s="68"/>
      <c r="N154" s="68">
        <f t="shared" si="80"/>
        <v>885.71428571428578</v>
      </c>
      <c r="O154" s="68"/>
      <c r="P154" s="68">
        <f>((16550)/I$3)*I154</f>
        <v>18323.214285714286</v>
      </c>
      <c r="Q154" s="68"/>
      <c r="R154" s="68">
        <v>0</v>
      </c>
      <c r="S154" s="68">
        <v>0</v>
      </c>
      <c r="T154" s="68">
        <f t="shared" si="66"/>
        <v>25021.428571428572</v>
      </c>
      <c r="U154" s="69">
        <f t="shared" si="78"/>
        <v>664.28571428571433</v>
      </c>
      <c r="V154" s="69">
        <v>0</v>
      </c>
      <c r="W154" s="68">
        <v>0</v>
      </c>
      <c r="X154" s="68">
        <v>0</v>
      </c>
      <c r="Y154" s="68">
        <f t="shared" si="65"/>
        <v>664.28571428571433</v>
      </c>
      <c r="Z154" s="68">
        <f t="shared" si="69"/>
        <v>24357.142857142859</v>
      </c>
      <c r="AA154" s="68">
        <v>0</v>
      </c>
      <c r="AB154" s="68">
        <f t="shared" si="70"/>
        <v>24357.142857142859</v>
      </c>
      <c r="AC154" s="69">
        <f t="shared" si="79"/>
        <v>727.94642857142867</v>
      </c>
      <c r="AD154" s="69">
        <v>0</v>
      </c>
      <c r="AE154" s="70">
        <f t="shared" si="72"/>
        <v>0</v>
      </c>
      <c r="AF154" s="71">
        <f t="shared" si="81"/>
        <v>727.94642857142867</v>
      </c>
      <c r="AG154" s="71">
        <f t="shared" si="73"/>
        <v>25749.375</v>
      </c>
    </row>
    <row r="155" spans="1:33" x14ac:dyDescent="0.2">
      <c r="A155" s="74" t="s">
        <v>1303</v>
      </c>
      <c r="B155" s="75" t="e">
        <f t="shared" si="74"/>
        <v>#REF!</v>
      </c>
      <c r="C155" s="75" t="s">
        <v>1050</v>
      </c>
      <c r="D155" s="97" t="s">
        <v>50</v>
      </c>
      <c r="E155" s="97" t="s">
        <v>239</v>
      </c>
      <c r="F155" s="76">
        <v>42884</v>
      </c>
      <c r="G155" s="133"/>
      <c r="H155" s="133"/>
      <c r="I155" s="75">
        <v>26</v>
      </c>
      <c r="J155" s="68">
        <f t="shared" si="67"/>
        <v>4642.8571428571431</v>
      </c>
      <c r="K155" s="68">
        <f t="shared" si="68"/>
        <v>0</v>
      </c>
      <c r="L155" s="68">
        <f t="shared" si="77"/>
        <v>232.14285714285717</v>
      </c>
      <c r="M155" s="68"/>
      <c r="N155" s="68">
        <f t="shared" si="80"/>
        <v>742.85714285714289</v>
      </c>
      <c r="O155" s="68"/>
      <c r="P155" s="68">
        <f t="shared" ref="P155:P161" si="82">((4230)/I$3)*I155</f>
        <v>3927.8571428571431</v>
      </c>
      <c r="Q155" s="68"/>
      <c r="R155" s="68">
        <v>0</v>
      </c>
      <c r="S155" s="68">
        <v>0</v>
      </c>
      <c r="T155" s="68">
        <f t="shared" si="66"/>
        <v>9545.7142857142862</v>
      </c>
      <c r="U155" s="69">
        <f t="shared" si="78"/>
        <v>557.14285714285711</v>
      </c>
      <c r="V155" s="69">
        <f t="shared" si="75"/>
        <v>168</v>
      </c>
      <c r="W155" s="68">
        <v>0</v>
      </c>
      <c r="X155" s="68">
        <v>0</v>
      </c>
      <c r="Y155" s="68">
        <f t="shared" si="65"/>
        <v>725.14285714285711</v>
      </c>
      <c r="Z155" s="68">
        <f t="shared" si="69"/>
        <v>8820.5714285714294</v>
      </c>
      <c r="AA155" s="68">
        <v>0</v>
      </c>
      <c r="AB155" s="68">
        <f t="shared" si="70"/>
        <v>8820.5714285714294</v>
      </c>
      <c r="AC155" s="69">
        <f t="shared" si="79"/>
        <v>610.53571428571433</v>
      </c>
      <c r="AD155" s="69">
        <f t="shared" si="71"/>
        <v>454</v>
      </c>
      <c r="AE155" s="70">
        <f t="shared" si="72"/>
        <v>0</v>
      </c>
      <c r="AF155" s="71">
        <f t="shared" si="81"/>
        <v>1064.5357142857142</v>
      </c>
      <c r="AG155" s="71">
        <f t="shared" si="73"/>
        <v>10610.25</v>
      </c>
    </row>
    <row r="156" spans="1:33" x14ac:dyDescent="0.2">
      <c r="A156" s="74" t="s">
        <v>1304</v>
      </c>
      <c r="B156" s="75" t="e">
        <f t="shared" si="74"/>
        <v>#REF!</v>
      </c>
      <c r="C156" s="75" t="s">
        <v>1051</v>
      </c>
      <c r="D156" s="97" t="s">
        <v>50</v>
      </c>
      <c r="E156" s="97" t="s">
        <v>239</v>
      </c>
      <c r="F156" s="76">
        <v>42885</v>
      </c>
      <c r="G156" s="133"/>
      <c r="H156" s="133"/>
      <c r="I156" s="75">
        <v>27</v>
      </c>
      <c r="J156" s="68">
        <f t="shared" si="67"/>
        <v>4821.4285714285716</v>
      </c>
      <c r="K156" s="68">
        <f t="shared" si="68"/>
        <v>0</v>
      </c>
      <c r="L156" s="68">
        <f t="shared" si="77"/>
        <v>241.07142857142858</v>
      </c>
      <c r="M156" s="68"/>
      <c r="N156" s="68">
        <f t="shared" si="80"/>
        <v>771.42857142857144</v>
      </c>
      <c r="O156" s="68"/>
      <c r="P156" s="68">
        <f t="shared" si="82"/>
        <v>4078.9285714285716</v>
      </c>
      <c r="Q156" s="68"/>
      <c r="R156" s="68">
        <v>0</v>
      </c>
      <c r="S156" s="68">
        <v>0</v>
      </c>
      <c r="T156" s="68">
        <f t="shared" si="66"/>
        <v>9912.8571428571431</v>
      </c>
      <c r="U156" s="69">
        <f t="shared" si="78"/>
        <v>578.57142857142856</v>
      </c>
      <c r="V156" s="69">
        <f t="shared" si="75"/>
        <v>174</v>
      </c>
      <c r="W156" s="68">
        <v>0</v>
      </c>
      <c r="X156" s="68">
        <v>0</v>
      </c>
      <c r="Y156" s="68">
        <f t="shared" si="65"/>
        <v>752.57142857142856</v>
      </c>
      <c r="Z156" s="68">
        <f t="shared" si="69"/>
        <v>9160.2857142857138</v>
      </c>
      <c r="AA156" s="68">
        <v>0</v>
      </c>
      <c r="AB156" s="68">
        <f t="shared" si="70"/>
        <v>9160.2857142857138</v>
      </c>
      <c r="AC156" s="69">
        <f t="shared" si="79"/>
        <v>634.01785714285722</v>
      </c>
      <c r="AD156" s="69">
        <f t="shared" si="71"/>
        <v>471</v>
      </c>
      <c r="AE156" s="70">
        <f t="shared" si="72"/>
        <v>0</v>
      </c>
      <c r="AF156" s="71">
        <f t="shared" si="81"/>
        <v>1105.0178571428573</v>
      </c>
      <c r="AG156" s="71">
        <f t="shared" si="73"/>
        <v>11017.875</v>
      </c>
    </row>
    <row r="157" spans="1:33" x14ac:dyDescent="0.2">
      <c r="A157" s="74" t="s">
        <v>1305</v>
      </c>
      <c r="B157" s="75" t="e">
        <f t="shared" si="74"/>
        <v>#REF!</v>
      </c>
      <c r="C157" s="75" t="s">
        <v>537</v>
      </c>
      <c r="D157" s="97" t="s">
        <v>50</v>
      </c>
      <c r="E157" s="97" t="s">
        <v>484</v>
      </c>
      <c r="F157" s="76">
        <v>42886</v>
      </c>
      <c r="G157" s="133"/>
      <c r="H157" s="133"/>
      <c r="I157" s="75">
        <v>27</v>
      </c>
      <c r="J157" s="68">
        <f t="shared" si="67"/>
        <v>4821.4285714285716</v>
      </c>
      <c r="K157" s="68">
        <f t="shared" si="68"/>
        <v>0</v>
      </c>
      <c r="L157" s="68">
        <f t="shared" si="77"/>
        <v>241.07142857142858</v>
      </c>
      <c r="M157" s="68"/>
      <c r="N157" s="68">
        <f t="shared" si="80"/>
        <v>771.42857142857144</v>
      </c>
      <c r="O157" s="68"/>
      <c r="P157" s="68">
        <f t="shared" si="82"/>
        <v>4078.9285714285716</v>
      </c>
      <c r="Q157" s="68"/>
      <c r="R157" s="68">
        <v>0</v>
      </c>
      <c r="S157" s="68">
        <v>0</v>
      </c>
      <c r="T157" s="68">
        <f t="shared" si="66"/>
        <v>9912.8571428571431</v>
      </c>
      <c r="U157" s="69">
        <f t="shared" si="78"/>
        <v>578.57142857142856</v>
      </c>
      <c r="V157" s="69">
        <f t="shared" si="75"/>
        <v>174</v>
      </c>
      <c r="W157" s="68">
        <v>0</v>
      </c>
      <c r="X157" s="68">
        <v>0</v>
      </c>
      <c r="Y157" s="68">
        <f t="shared" si="65"/>
        <v>752.57142857142856</v>
      </c>
      <c r="Z157" s="68">
        <f t="shared" si="69"/>
        <v>9160.2857142857138</v>
      </c>
      <c r="AA157" s="68">
        <v>0</v>
      </c>
      <c r="AB157" s="68">
        <f t="shared" si="70"/>
        <v>9160.2857142857138</v>
      </c>
      <c r="AC157" s="69">
        <f t="shared" si="79"/>
        <v>634.01785714285722</v>
      </c>
      <c r="AD157" s="69">
        <f t="shared" si="71"/>
        <v>471</v>
      </c>
      <c r="AE157" s="70">
        <f t="shared" si="72"/>
        <v>0</v>
      </c>
      <c r="AF157" s="71">
        <f t="shared" si="81"/>
        <v>1105.0178571428573</v>
      </c>
      <c r="AG157" s="71">
        <f t="shared" si="73"/>
        <v>11017.875</v>
      </c>
    </row>
    <row r="158" spans="1:33" x14ac:dyDescent="0.2">
      <c r="A158" s="74" t="s">
        <v>1307</v>
      </c>
      <c r="B158" s="75" t="e">
        <f>#REF!+1</f>
        <v>#REF!</v>
      </c>
      <c r="C158" s="75" t="s">
        <v>1053</v>
      </c>
      <c r="D158" s="97" t="s">
        <v>50</v>
      </c>
      <c r="E158" s="97" t="s">
        <v>484</v>
      </c>
      <c r="F158" s="76">
        <v>42887</v>
      </c>
      <c r="G158" s="133"/>
      <c r="H158" s="133"/>
      <c r="I158" s="75">
        <v>25</v>
      </c>
      <c r="J158" s="68">
        <f t="shared" si="67"/>
        <v>4464.2857142857147</v>
      </c>
      <c r="K158" s="68">
        <f t="shared" si="68"/>
        <v>0</v>
      </c>
      <c r="L158" s="68">
        <f t="shared" si="77"/>
        <v>223.21428571428575</v>
      </c>
      <c r="M158" s="68"/>
      <c r="N158" s="68">
        <f t="shared" si="80"/>
        <v>714.28571428571433</v>
      </c>
      <c r="O158" s="68"/>
      <c r="P158" s="68">
        <f t="shared" si="82"/>
        <v>3776.7857142857147</v>
      </c>
      <c r="Q158" s="68"/>
      <c r="R158" s="68">
        <v>0</v>
      </c>
      <c r="S158" s="68">
        <v>0</v>
      </c>
      <c r="T158" s="68">
        <f t="shared" si="66"/>
        <v>9178.5714285714294</v>
      </c>
      <c r="U158" s="69">
        <f t="shared" si="78"/>
        <v>535.71428571428578</v>
      </c>
      <c r="V158" s="69">
        <f t="shared" si="75"/>
        <v>161</v>
      </c>
      <c r="W158" s="68">
        <v>0</v>
      </c>
      <c r="X158" s="68">
        <v>0</v>
      </c>
      <c r="Y158" s="68">
        <f t="shared" si="65"/>
        <v>696.71428571428578</v>
      </c>
      <c r="Z158" s="68">
        <f t="shared" si="69"/>
        <v>8481.8571428571431</v>
      </c>
      <c r="AA158" s="68">
        <v>0</v>
      </c>
      <c r="AB158" s="68">
        <f t="shared" si="70"/>
        <v>8481.8571428571431</v>
      </c>
      <c r="AC158" s="69">
        <f t="shared" si="79"/>
        <v>587.05357142857156</v>
      </c>
      <c r="AD158" s="69">
        <f t="shared" si="71"/>
        <v>436</v>
      </c>
      <c r="AE158" s="70">
        <f t="shared" si="72"/>
        <v>0</v>
      </c>
      <c r="AF158" s="71">
        <f t="shared" si="81"/>
        <v>1023.0535714285716</v>
      </c>
      <c r="AG158" s="71">
        <f t="shared" si="73"/>
        <v>10201.625</v>
      </c>
    </row>
    <row r="159" spans="1:33" x14ac:dyDescent="0.2">
      <c r="A159" s="74" t="s">
        <v>1308</v>
      </c>
      <c r="B159" s="75" t="e">
        <f t="shared" si="74"/>
        <v>#REF!</v>
      </c>
      <c r="C159" s="75" t="s">
        <v>492</v>
      </c>
      <c r="D159" s="97" t="s">
        <v>50</v>
      </c>
      <c r="E159" s="97" t="s">
        <v>484</v>
      </c>
      <c r="F159" s="76">
        <v>42888</v>
      </c>
      <c r="G159" s="133"/>
      <c r="H159" s="133"/>
      <c r="I159" s="75">
        <v>30</v>
      </c>
      <c r="J159" s="68">
        <f t="shared" si="67"/>
        <v>5357.1428571428578</v>
      </c>
      <c r="K159" s="68">
        <f t="shared" si="68"/>
        <v>0</v>
      </c>
      <c r="L159" s="68">
        <f t="shared" si="77"/>
        <v>267.85714285714289</v>
      </c>
      <c r="M159" s="68"/>
      <c r="N159" s="68">
        <f t="shared" si="80"/>
        <v>857.14285714285722</v>
      </c>
      <c r="O159" s="68"/>
      <c r="P159" s="68">
        <f t="shared" si="82"/>
        <v>4532.1428571428578</v>
      </c>
      <c r="Q159" s="68"/>
      <c r="R159" s="68">
        <v>0</v>
      </c>
      <c r="S159" s="68">
        <v>0</v>
      </c>
      <c r="T159" s="68">
        <f t="shared" ref="T159:T190" si="83">SUM(J159:S159)</f>
        <v>11014.285714285716</v>
      </c>
      <c r="U159" s="69">
        <f t="shared" si="78"/>
        <v>642.85714285714289</v>
      </c>
      <c r="V159" s="69">
        <f t="shared" si="75"/>
        <v>193</v>
      </c>
      <c r="W159" s="68">
        <v>0</v>
      </c>
      <c r="X159" s="68">
        <v>0</v>
      </c>
      <c r="Y159" s="68">
        <f t="shared" si="65"/>
        <v>835.85714285714289</v>
      </c>
      <c r="Z159" s="68">
        <f t="shared" si="69"/>
        <v>10178.428571428572</v>
      </c>
      <c r="AA159" s="68">
        <v>0</v>
      </c>
      <c r="AB159" s="68">
        <f t="shared" si="70"/>
        <v>10178.428571428572</v>
      </c>
      <c r="AC159" s="69">
        <f t="shared" si="79"/>
        <v>704.46428571428578</v>
      </c>
      <c r="AD159" s="69">
        <f t="shared" si="71"/>
        <v>524</v>
      </c>
      <c r="AE159" s="70">
        <f t="shared" si="72"/>
        <v>0</v>
      </c>
      <c r="AF159" s="71">
        <f t="shared" si="81"/>
        <v>1228.4642857142858</v>
      </c>
      <c r="AG159" s="71">
        <f t="shared" si="73"/>
        <v>12242.750000000002</v>
      </c>
    </row>
    <row r="160" spans="1:33" x14ac:dyDescent="0.2">
      <c r="A160" s="74" t="s">
        <v>1309</v>
      </c>
      <c r="B160" s="75" t="e">
        <f t="shared" si="74"/>
        <v>#REF!</v>
      </c>
      <c r="C160" s="75" t="s">
        <v>1054</v>
      </c>
      <c r="D160" s="97" t="s">
        <v>50</v>
      </c>
      <c r="E160" s="97" t="s">
        <v>484</v>
      </c>
      <c r="F160" s="76">
        <v>42889</v>
      </c>
      <c r="G160" s="133"/>
      <c r="H160" s="133"/>
      <c r="I160" s="75">
        <v>27</v>
      </c>
      <c r="J160" s="68">
        <f t="shared" si="67"/>
        <v>4821.4285714285716</v>
      </c>
      <c r="K160" s="68">
        <f t="shared" si="68"/>
        <v>0</v>
      </c>
      <c r="L160" s="68">
        <f t="shared" si="77"/>
        <v>241.07142857142858</v>
      </c>
      <c r="M160" s="68"/>
      <c r="N160" s="68">
        <f t="shared" si="80"/>
        <v>771.42857142857144</v>
      </c>
      <c r="O160" s="68"/>
      <c r="P160" s="68">
        <f t="shared" si="82"/>
        <v>4078.9285714285716</v>
      </c>
      <c r="Q160" s="68"/>
      <c r="R160" s="68">
        <v>0</v>
      </c>
      <c r="S160" s="68">
        <v>0</v>
      </c>
      <c r="T160" s="68">
        <f t="shared" si="83"/>
        <v>9912.8571428571431</v>
      </c>
      <c r="U160" s="69">
        <f t="shared" si="78"/>
        <v>578.57142857142856</v>
      </c>
      <c r="V160" s="69">
        <f t="shared" si="75"/>
        <v>174</v>
      </c>
      <c r="W160" s="68">
        <v>0</v>
      </c>
      <c r="X160" s="68">
        <v>0</v>
      </c>
      <c r="Y160" s="68">
        <f t="shared" si="65"/>
        <v>752.57142857142856</v>
      </c>
      <c r="Z160" s="68">
        <f t="shared" si="69"/>
        <v>9160.2857142857138</v>
      </c>
      <c r="AA160" s="68">
        <v>0</v>
      </c>
      <c r="AB160" s="68">
        <f t="shared" si="70"/>
        <v>9160.2857142857138</v>
      </c>
      <c r="AC160" s="69">
        <f t="shared" si="79"/>
        <v>634.01785714285722</v>
      </c>
      <c r="AD160" s="69">
        <f t="shared" si="71"/>
        <v>471</v>
      </c>
      <c r="AE160" s="70">
        <f t="shared" si="72"/>
        <v>0</v>
      </c>
      <c r="AF160" s="71">
        <f t="shared" si="81"/>
        <v>1105.0178571428573</v>
      </c>
      <c r="AG160" s="71">
        <f t="shared" si="73"/>
        <v>11017.875</v>
      </c>
    </row>
    <row r="161" spans="1:33" x14ac:dyDescent="0.2">
      <c r="A161" s="74" t="s">
        <v>1310</v>
      </c>
      <c r="B161" s="75" t="e">
        <f t="shared" si="74"/>
        <v>#REF!</v>
      </c>
      <c r="C161" s="75" t="s">
        <v>1055</v>
      </c>
      <c r="D161" s="97" t="s">
        <v>50</v>
      </c>
      <c r="E161" s="97" t="s">
        <v>484</v>
      </c>
      <c r="F161" s="76">
        <v>42890</v>
      </c>
      <c r="G161" s="133"/>
      <c r="H161" s="133"/>
      <c r="I161" s="75">
        <v>31</v>
      </c>
      <c r="J161" s="68">
        <f t="shared" si="67"/>
        <v>5535.7142857142862</v>
      </c>
      <c r="K161" s="68">
        <f t="shared" si="68"/>
        <v>0</v>
      </c>
      <c r="L161" s="68">
        <f t="shared" si="77"/>
        <v>276.78571428571433</v>
      </c>
      <c r="M161" s="68"/>
      <c r="N161" s="68">
        <f t="shared" si="80"/>
        <v>885.71428571428578</v>
      </c>
      <c r="O161" s="68"/>
      <c r="P161" s="68">
        <f t="shared" si="82"/>
        <v>4683.2142857142862</v>
      </c>
      <c r="Q161" s="68"/>
      <c r="R161" s="68">
        <v>0</v>
      </c>
      <c r="S161" s="68">
        <v>0</v>
      </c>
      <c r="T161" s="68">
        <f t="shared" si="83"/>
        <v>11381.428571428572</v>
      </c>
      <c r="U161" s="69">
        <f t="shared" si="78"/>
        <v>664.28571428571433</v>
      </c>
      <c r="V161" s="69">
        <f t="shared" si="75"/>
        <v>200</v>
      </c>
      <c r="W161" s="68">
        <v>0</v>
      </c>
      <c r="X161" s="68">
        <v>0</v>
      </c>
      <c r="Y161" s="68">
        <f t="shared" si="65"/>
        <v>864.28571428571433</v>
      </c>
      <c r="Z161" s="68">
        <f t="shared" si="69"/>
        <v>10517.142857142859</v>
      </c>
      <c r="AA161" s="68">
        <v>0</v>
      </c>
      <c r="AB161" s="68">
        <f t="shared" si="70"/>
        <v>10517.142857142859</v>
      </c>
      <c r="AC161" s="69">
        <f t="shared" si="79"/>
        <v>727.94642857142867</v>
      </c>
      <c r="AD161" s="69">
        <f t="shared" si="71"/>
        <v>541</v>
      </c>
      <c r="AE161" s="70">
        <f t="shared" si="72"/>
        <v>0</v>
      </c>
      <c r="AF161" s="71">
        <f t="shared" si="81"/>
        <v>1268.9464285714287</v>
      </c>
      <c r="AG161" s="71">
        <f t="shared" si="73"/>
        <v>12650.375000000002</v>
      </c>
    </row>
    <row r="162" spans="1:33" x14ac:dyDescent="0.2">
      <c r="A162" s="74" t="s">
        <v>333</v>
      </c>
      <c r="B162" s="75" t="e">
        <f>#REF!+1</f>
        <v>#REF!</v>
      </c>
      <c r="C162" s="75" t="s">
        <v>738</v>
      </c>
      <c r="D162" s="97" t="s">
        <v>50</v>
      </c>
      <c r="E162" s="97" t="s">
        <v>234</v>
      </c>
      <c r="F162" s="76">
        <v>42891</v>
      </c>
      <c r="G162" s="133"/>
      <c r="H162" s="133"/>
      <c r="I162" s="75">
        <v>32</v>
      </c>
      <c r="J162" s="68">
        <f t="shared" si="67"/>
        <v>5714.2857142857147</v>
      </c>
      <c r="K162" s="68">
        <f t="shared" si="68"/>
        <v>0</v>
      </c>
      <c r="L162" s="68">
        <f t="shared" si="77"/>
        <v>285.71428571428572</v>
      </c>
      <c r="M162" s="68"/>
      <c r="N162" s="68">
        <f t="shared" si="80"/>
        <v>914.28571428571433</v>
      </c>
      <c r="O162" s="68"/>
      <c r="P162" s="68">
        <f>((6317)/I$3)*I162</f>
        <v>7219.4285714285716</v>
      </c>
      <c r="Q162" s="68"/>
      <c r="R162" s="68">
        <v>0</v>
      </c>
      <c r="S162" s="68">
        <v>0</v>
      </c>
      <c r="T162" s="68">
        <f t="shared" si="83"/>
        <v>14133.714285714286</v>
      </c>
      <c r="U162" s="69">
        <f t="shared" si="78"/>
        <v>685.71428571428578</v>
      </c>
      <c r="V162" s="69">
        <f t="shared" si="75"/>
        <v>248</v>
      </c>
      <c r="W162" s="68">
        <v>0</v>
      </c>
      <c r="X162" s="68">
        <v>0</v>
      </c>
      <c r="Y162" s="68">
        <f t="shared" si="65"/>
        <v>933.71428571428578</v>
      </c>
      <c r="Z162" s="68">
        <f t="shared" si="69"/>
        <v>13200</v>
      </c>
      <c r="AA162" s="68">
        <v>0</v>
      </c>
      <c r="AB162" s="68">
        <f t="shared" si="70"/>
        <v>13200</v>
      </c>
      <c r="AC162" s="69">
        <f t="shared" si="79"/>
        <v>751.42857142857156</v>
      </c>
      <c r="AD162" s="69">
        <f t="shared" si="71"/>
        <v>672</v>
      </c>
      <c r="AE162" s="70">
        <f t="shared" si="72"/>
        <v>0</v>
      </c>
      <c r="AF162" s="71">
        <f t="shared" si="81"/>
        <v>1423.4285714285716</v>
      </c>
      <c r="AG162" s="71">
        <f t="shared" si="73"/>
        <v>15557.142857142859</v>
      </c>
    </row>
    <row r="163" spans="1:33" x14ac:dyDescent="0.2">
      <c r="A163" s="74" t="s">
        <v>1319</v>
      </c>
      <c r="B163" s="75" t="e">
        <f t="shared" si="74"/>
        <v>#REF!</v>
      </c>
      <c r="C163" s="75" t="s">
        <v>1062</v>
      </c>
      <c r="D163" s="97" t="s">
        <v>50</v>
      </c>
      <c r="E163" s="97" t="s">
        <v>234</v>
      </c>
      <c r="F163" s="76">
        <v>42892</v>
      </c>
      <c r="G163" s="133"/>
      <c r="H163" s="133"/>
      <c r="I163" s="75">
        <v>17</v>
      </c>
      <c r="J163" s="68">
        <f t="shared" si="67"/>
        <v>3035.7142857142858</v>
      </c>
      <c r="K163" s="68">
        <f t="shared" si="68"/>
        <v>0</v>
      </c>
      <c r="L163" s="68">
        <f t="shared" si="77"/>
        <v>151.78571428571431</v>
      </c>
      <c r="M163" s="68"/>
      <c r="N163" s="68">
        <f t="shared" si="80"/>
        <v>485.71428571428572</v>
      </c>
      <c r="O163" s="68"/>
      <c r="P163" s="68">
        <f>((5248)/I$3)*I163</f>
        <v>3186.2857142857142</v>
      </c>
      <c r="Q163" s="68"/>
      <c r="R163" s="68">
        <v>0</v>
      </c>
      <c r="S163" s="68">
        <v>0</v>
      </c>
      <c r="T163" s="68">
        <f t="shared" si="83"/>
        <v>6859.5</v>
      </c>
      <c r="U163" s="69">
        <f t="shared" si="78"/>
        <v>364.28571428571428</v>
      </c>
      <c r="V163" s="69">
        <f t="shared" si="75"/>
        <v>121</v>
      </c>
      <c r="W163" s="68">
        <v>0</v>
      </c>
      <c r="X163" s="68">
        <v>0</v>
      </c>
      <c r="Y163" s="68">
        <f t="shared" si="65"/>
        <v>485.28571428571428</v>
      </c>
      <c r="Z163" s="68">
        <f t="shared" si="69"/>
        <v>6374.2142857142853</v>
      </c>
      <c r="AA163" s="68">
        <v>0</v>
      </c>
      <c r="AB163" s="68">
        <f t="shared" si="70"/>
        <v>6374.2142857142853</v>
      </c>
      <c r="AC163" s="69">
        <f t="shared" si="79"/>
        <v>399.19642857142861</v>
      </c>
      <c r="AD163" s="69">
        <f t="shared" si="71"/>
        <v>326</v>
      </c>
      <c r="AE163" s="70">
        <f t="shared" si="72"/>
        <v>0</v>
      </c>
      <c r="AF163" s="71">
        <f t="shared" si="81"/>
        <v>725.19642857142867</v>
      </c>
      <c r="AG163" s="71">
        <f t="shared" si="73"/>
        <v>7584.6964285714284</v>
      </c>
    </row>
    <row r="164" spans="1:33" x14ac:dyDescent="0.2">
      <c r="A164" s="74" t="s">
        <v>1333</v>
      </c>
      <c r="B164" s="75" t="e">
        <f>#REF!+1</f>
        <v>#REF!</v>
      </c>
      <c r="C164" s="75" t="s">
        <v>1075</v>
      </c>
      <c r="D164" s="97" t="s">
        <v>50</v>
      </c>
      <c r="E164" s="97" t="s">
        <v>234</v>
      </c>
      <c r="F164" s="76">
        <v>42893</v>
      </c>
      <c r="G164" s="133"/>
      <c r="H164" s="133"/>
      <c r="I164" s="75">
        <v>26</v>
      </c>
      <c r="J164" s="68">
        <f t="shared" si="67"/>
        <v>4642.8571428571431</v>
      </c>
      <c r="K164" s="68">
        <f t="shared" si="68"/>
        <v>0</v>
      </c>
      <c r="L164" s="68">
        <f t="shared" si="77"/>
        <v>232.14285714285717</v>
      </c>
      <c r="M164" s="68"/>
      <c r="N164" s="68">
        <f t="shared" si="80"/>
        <v>742.85714285714289</v>
      </c>
      <c r="O164" s="68"/>
      <c r="P164" s="68">
        <f>((5248)/I$3)*I164</f>
        <v>4873.1428571428569</v>
      </c>
      <c r="Q164" s="68"/>
      <c r="R164" s="68">
        <v>0</v>
      </c>
      <c r="S164" s="68">
        <v>0</v>
      </c>
      <c r="T164" s="68">
        <f t="shared" si="83"/>
        <v>10491</v>
      </c>
      <c r="U164" s="69">
        <f t="shared" si="78"/>
        <v>557.14285714285711</v>
      </c>
      <c r="V164" s="69">
        <f t="shared" si="75"/>
        <v>184</v>
      </c>
      <c r="W164" s="68">
        <v>0</v>
      </c>
      <c r="X164" s="68">
        <v>0</v>
      </c>
      <c r="Y164" s="68">
        <f t="shared" si="65"/>
        <v>741.14285714285711</v>
      </c>
      <c r="Z164" s="68">
        <f t="shared" si="69"/>
        <v>9749.8571428571431</v>
      </c>
      <c r="AA164" s="68">
        <v>0</v>
      </c>
      <c r="AB164" s="68">
        <f t="shared" si="70"/>
        <v>9749.8571428571431</v>
      </c>
      <c r="AC164" s="69">
        <f t="shared" si="79"/>
        <v>610.53571428571433</v>
      </c>
      <c r="AD164" s="69">
        <f t="shared" si="71"/>
        <v>499</v>
      </c>
      <c r="AE164" s="70">
        <f t="shared" si="72"/>
        <v>0</v>
      </c>
      <c r="AF164" s="71">
        <f t="shared" si="81"/>
        <v>1109.5357142857142</v>
      </c>
      <c r="AG164" s="71">
        <f t="shared" si="73"/>
        <v>11600.535714285714</v>
      </c>
    </row>
    <row r="165" spans="1:33" x14ac:dyDescent="0.2">
      <c r="A165" s="74" t="s">
        <v>1341</v>
      </c>
      <c r="B165" s="75" t="e">
        <f t="shared" si="74"/>
        <v>#REF!</v>
      </c>
      <c r="C165" s="75" t="s">
        <v>1081</v>
      </c>
      <c r="D165" s="97" t="s">
        <v>50</v>
      </c>
      <c r="E165" s="97" t="s">
        <v>234</v>
      </c>
      <c r="F165" s="76">
        <v>42894</v>
      </c>
      <c r="G165" s="133"/>
      <c r="H165" s="133"/>
      <c r="I165" s="75">
        <v>27</v>
      </c>
      <c r="J165" s="68">
        <f t="shared" si="67"/>
        <v>4821.4285714285716</v>
      </c>
      <c r="K165" s="68">
        <f t="shared" si="68"/>
        <v>0</v>
      </c>
      <c r="L165" s="68">
        <f t="shared" si="77"/>
        <v>241.07142857142858</v>
      </c>
      <c r="M165" s="68"/>
      <c r="N165" s="68">
        <f t="shared" si="80"/>
        <v>771.42857142857144</v>
      </c>
      <c r="O165" s="68"/>
      <c r="P165" s="68">
        <f>((5248)/I$3)*I165</f>
        <v>5060.5714285714284</v>
      </c>
      <c r="Q165" s="68"/>
      <c r="R165" s="68">
        <v>0</v>
      </c>
      <c r="S165" s="68">
        <v>0</v>
      </c>
      <c r="T165" s="68">
        <f t="shared" si="83"/>
        <v>10894.5</v>
      </c>
      <c r="U165" s="69">
        <f t="shared" si="78"/>
        <v>578.57142857142856</v>
      </c>
      <c r="V165" s="69">
        <f t="shared" si="75"/>
        <v>191</v>
      </c>
      <c r="W165" s="68">
        <v>0</v>
      </c>
      <c r="X165" s="68">
        <v>0</v>
      </c>
      <c r="Y165" s="68">
        <f t="shared" si="65"/>
        <v>769.57142857142856</v>
      </c>
      <c r="Z165" s="68">
        <f t="shared" si="69"/>
        <v>10124.928571428571</v>
      </c>
      <c r="AA165" s="68">
        <v>0</v>
      </c>
      <c r="AB165" s="68">
        <f t="shared" si="70"/>
        <v>10124.928571428571</v>
      </c>
      <c r="AC165" s="69">
        <f t="shared" si="79"/>
        <v>634.01785714285722</v>
      </c>
      <c r="AD165" s="69">
        <f t="shared" si="71"/>
        <v>518</v>
      </c>
      <c r="AE165" s="70">
        <f t="shared" si="72"/>
        <v>0</v>
      </c>
      <c r="AF165" s="71">
        <f t="shared" si="81"/>
        <v>1152.0178571428573</v>
      </c>
      <c r="AG165" s="71">
        <f t="shared" si="73"/>
        <v>12046.517857142857</v>
      </c>
    </row>
    <row r="166" spans="1:33" x14ac:dyDescent="0.2">
      <c r="A166" s="74" t="s">
        <v>1377</v>
      </c>
      <c r="B166" s="75" t="e">
        <f t="shared" si="74"/>
        <v>#REF!</v>
      </c>
      <c r="C166" s="75" t="s">
        <v>1347</v>
      </c>
      <c r="D166" s="97" t="s">
        <v>50</v>
      </c>
      <c r="E166" s="97" t="s">
        <v>581</v>
      </c>
      <c r="F166" s="76">
        <v>42895</v>
      </c>
      <c r="G166" s="133"/>
      <c r="H166" s="133"/>
      <c r="I166" s="75">
        <v>28</v>
      </c>
      <c r="J166" s="68">
        <f t="shared" si="67"/>
        <v>5000</v>
      </c>
      <c r="K166" s="68">
        <f t="shared" si="68"/>
        <v>0</v>
      </c>
      <c r="L166" s="68">
        <f t="shared" si="77"/>
        <v>250</v>
      </c>
      <c r="M166" s="68"/>
      <c r="N166" s="68">
        <f t="shared" si="80"/>
        <v>800</v>
      </c>
      <c r="O166" s="68"/>
      <c r="P166" s="68">
        <f>((4230)/I$3)*I166</f>
        <v>4230</v>
      </c>
      <c r="Q166" s="68"/>
      <c r="R166" s="68">
        <v>0</v>
      </c>
      <c r="S166" s="68">
        <v>0</v>
      </c>
      <c r="T166" s="68">
        <f t="shared" si="83"/>
        <v>10280</v>
      </c>
      <c r="U166" s="69">
        <f t="shared" si="78"/>
        <v>600</v>
      </c>
      <c r="V166" s="69">
        <f t="shared" si="75"/>
        <v>180</v>
      </c>
      <c r="W166" s="68">
        <v>0</v>
      </c>
      <c r="X166" s="68">
        <v>0</v>
      </c>
      <c r="Y166" s="68">
        <f t="shared" si="65"/>
        <v>780</v>
      </c>
      <c r="Z166" s="68">
        <f t="shared" si="69"/>
        <v>9500</v>
      </c>
      <c r="AA166" s="68">
        <v>0</v>
      </c>
      <c r="AB166" s="68">
        <f t="shared" si="70"/>
        <v>9500</v>
      </c>
      <c r="AC166" s="69">
        <f t="shared" si="79"/>
        <v>657.5</v>
      </c>
      <c r="AD166" s="69">
        <f t="shared" si="71"/>
        <v>489</v>
      </c>
      <c r="AE166" s="70">
        <f t="shared" si="72"/>
        <v>0</v>
      </c>
      <c r="AF166" s="71">
        <f t="shared" si="81"/>
        <v>1146.5</v>
      </c>
      <c r="AG166" s="71">
        <f t="shared" si="73"/>
        <v>11426.5</v>
      </c>
    </row>
    <row r="167" spans="1:33" x14ac:dyDescent="0.2">
      <c r="A167" s="74" t="s">
        <v>1378</v>
      </c>
      <c r="B167" s="75" t="e">
        <f t="shared" si="74"/>
        <v>#REF!</v>
      </c>
      <c r="C167" s="75" t="s">
        <v>214</v>
      </c>
      <c r="D167" s="97" t="s">
        <v>50</v>
      </c>
      <c r="E167" s="97" t="s">
        <v>234</v>
      </c>
      <c r="F167" s="76">
        <v>42896</v>
      </c>
      <c r="G167" s="133"/>
      <c r="H167" s="133"/>
      <c r="I167" s="75">
        <v>29</v>
      </c>
      <c r="J167" s="68">
        <f t="shared" si="67"/>
        <v>5178.5714285714294</v>
      </c>
      <c r="K167" s="68">
        <f t="shared" si="68"/>
        <v>0</v>
      </c>
      <c r="L167" s="68">
        <f t="shared" si="77"/>
        <v>258.9285714285715</v>
      </c>
      <c r="M167" s="68"/>
      <c r="N167" s="68">
        <f t="shared" si="80"/>
        <v>828.57142857142867</v>
      </c>
      <c r="O167" s="68"/>
      <c r="P167" s="68">
        <f t="shared" ref="P167:P172" si="84">((4230+1018)/I$3)*I167</f>
        <v>5435.4285714285706</v>
      </c>
      <c r="Q167" s="68"/>
      <c r="R167" s="68">
        <v>0</v>
      </c>
      <c r="S167" s="68">
        <v>0</v>
      </c>
      <c r="T167" s="68">
        <f t="shared" si="83"/>
        <v>11701.5</v>
      </c>
      <c r="U167" s="69">
        <f t="shared" si="78"/>
        <v>621.42857142857144</v>
      </c>
      <c r="V167" s="69">
        <f t="shared" si="75"/>
        <v>205</v>
      </c>
      <c r="W167" s="68">
        <v>0</v>
      </c>
      <c r="X167" s="68">
        <v>0</v>
      </c>
      <c r="Y167" s="68">
        <f t="shared" si="65"/>
        <v>826.42857142857144</v>
      </c>
      <c r="Z167" s="68">
        <f t="shared" si="69"/>
        <v>10875.071428571429</v>
      </c>
      <c r="AA167" s="68">
        <v>0</v>
      </c>
      <c r="AB167" s="68">
        <f t="shared" si="70"/>
        <v>10875.071428571429</v>
      </c>
      <c r="AC167" s="69">
        <f t="shared" si="79"/>
        <v>680.982142857143</v>
      </c>
      <c r="AD167" s="69">
        <f t="shared" si="71"/>
        <v>556</v>
      </c>
      <c r="AE167" s="70">
        <f t="shared" si="72"/>
        <v>0</v>
      </c>
      <c r="AF167" s="71">
        <f t="shared" si="81"/>
        <v>1236.9821428571431</v>
      </c>
      <c r="AG167" s="71">
        <f t="shared" si="73"/>
        <v>12938.482142857143</v>
      </c>
    </row>
    <row r="168" spans="1:33" x14ac:dyDescent="0.2">
      <c r="A168" s="74" t="s">
        <v>1379</v>
      </c>
      <c r="B168" s="75" t="e">
        <f t="shared" si="74"/>
        <v>#REF!</v>
      </c>
      <c r="C168" s="75" t="s">
        <v>1349</v>
      </c>
      <c r="D168" s="97" t="s">
        <v>50</v>
      </c>
      <c r="E168" s="97" t="s">
        <v>234</v>
      </c>
      <c r="F168" s="76">
        <v>42897</v>
      </c>
      <c r="G168" s="133"/>
      <c r="H168" s="133"/>
      <c r="I168" s="75">
        <v>11</v>
      </c>
      <c r="J168" s="68">
        <f t="shared" si="67"/>
        <v>1964.2857142857144</v>
      </c>
      <c r="K168" s="68">
        <f t="shared" si="68"/>
        <v>0</v>
      </c>
      <c r="L168" s="68">
        <f t="shared" si="77"/>
        <v>98.214285714285722</v>
      </c>
      <c r="M168" s="68"/>
      <c r="N168" s="68">
        <f t="shared" si="80"/>
        <v>314.28571428571428</v>
      </c>
      <c r="O168" s="68"/>
      <c r="P168" s="68">
        <f t="shared" si="84"/>
        <v>2061.7142857142858</v>
      </c>
      <c r="Q168" s="68"/>
      <c r="R168" s="68">
        <v>0</v>
      </c>
      <c r="S168" s="68">
        <v>0</v>
      </c>
      <c r="T168" s="68">
        <f t="shared" si="83"/>
        <v>4438.5</v>
      </c>
      <c r="U168" s="69">
        <f t="shared" si="78"/>
        <v>235.71428571428572</v>
      </c>
      <c r="V168" s="69">
        <f t="shared" si="75"/>
        <v>78</v>
      </c>
      <c r="W168" s="68">
        <v>0</v>
      </c>
      <c r="X168" s="68">
        <v>0</v>
      </c>
      <c r="Y168" s="68">
        <f t="shared" si="65"/>
        <v>313.71428571428572</v>
      </c>
      <c r="Z168" s="68">
        <f t="shared" si="69"/>
        <v>4124.7857142857147</v>
      </c>
      <c r="AA168" s="68">
        <v>0</v>
      </c>
      <c r="AB168" s="68">
        <f t="shared" si="70"/>
        <v>4124.7857142857147</v>
      </c>
      <c r="AC168" s="69">
        <f t="shared" si="79"/>
        <v>258.30357142857144</v>
      </c>
      <c r="AD168" s="69">
        <f t="shared" si="71"/>
        <v>211</v>
      </c>
      <c r="AE168" s="70">
        <f t="shared" si="72"/>
        <v>0</v>
      </c>
      <c r="AF168" s="71">
        <f t="shared" si="81"/>
        <v>469.30357142857144</v>
      </c>
      <c r="AG168" s="71">
        <f t="shared" si="73"/>
        <v>4907.8035714285716</v>
      </c>
    </row>
    <row r="169" spans="1:33" x14ac:dyDescent="0.2">
      <c r="A169" s="74" t="s">
        <v>1380</v>
      </c>
      <c r="B169" s="75" t="e">
        <f t="shared" si="74"/>
        <v>#REF!</v>
      </c>
      <c r="C169" s="75" t="s">
        <v>403</v>
      </c>
      <c r="D169" s="97" t="s">
        <v>50</v>
      </c>
      <c r="E169" s="97" t="s">
        <v>234</v>
      </c>
      <c r="F169" s="76">
        <v>42898</v>
      </c>
      <c r="G169" s="133"/>
      <c r="H169" s="133"/>
      <c r="I169" s="75">
        <v>21</v>
      </c>
      <c r="J169" s="68">
        <f t="shared" si="67"/>
        <v>3750.0000000000005</v>
      </c>
      <c r="K169" s="68">
        <f t="shared" si="68"/>
        <v>0</v>
      </c>
      <c r="L169" s="68">
        <f t="shared" si="77"/>
        <v>187.50000000000003</v>
      </c>
      <c r="M169" s="68"/>
      <c r="N169" s="68">
        <f t="shared" si="80"/>
        <v>600</v>
      </c>
      <c r="O169" s="68"/>
      <c r="P169" s="68">
        <f t="shared" si="84"/>
        <v>3935.9999999999995</v>
      </c>
      <c r="Q169" s="68"/>
      <c r="R169" s="68">
        <v>0</v>
      </c>
      <c r="S169" s="68">
        <v>0</v>
      </c>
      <c r="T169" s="68">
        <f t="shared" si="83"/>
        <v>8473.5</v>
      </c>
      <c r="U169" s="69">
        <f t="shared" si="78"/>
        <v>450.00000000000006</v>
      </c>
      <c r="V169" s="69">
        <f t="shared" si="75"/>
        <v>149</v>
      </c>
      <c r="W169" s="68">
        <v>0</v>
      </c>
      <c r="X169" s="68">
        <v>0</v>
      </c>
      <c r="Y169" s="68">
        <f t="shared" si="65"/>
        <v>599</v>
      </c>
      <c r="Z169" s="68">
        <f t="shared" si="69"/>
        <v>7874.5</v>
      </c>
      <c r="AA169" s="68">
        <v>0</v>
      </c>
      <c r="AB169" s="68">
        <f t="shared" si="70"/>
        <v>7874.5</v>
      </c>
      <c r="AC169" s="69">
        <f t="shared" si="79"/>
        <v>493.12500000000006</v>
      </c>
      <c r="AD169" s="69">
        <f t="shared" si="71"/>
        <v>403</v>
      </c>
      <c r="AE169" s="70">
        <f t="shared" si="72"/>
        <v>0</v>
      </c>
      <c r="AF169" s="71">
        <f t="shared" si="81"/>
        <v>896.125</v>
      </c>
      <c r="AG169" s="71">
        <f t="shared" si="73"/>
        <v>9369.625</v>
      </c>
    </row>
    <row r="170" spans="1:33" x14ac:dyDescent="0.2">
      <c r="A170" s="74" t="s">
        <v>1381</v>
      </c>
      <c r="B170" s="75" t="e">
        <f t="shared" si="74"/>
        <v>#REF!</v>
      </c>
      <c r="C170" s="75" t="s">
        <v>1352</v>
      </c>
      <c r="D170" s="97" t="s">
        <v>50</v>
      </c>
      <c r="E170" s="97" t="s">
        <v>234</v>
      </c>
      <c r="F170" s="76">
        <v>42899</v>
      </c>
      <c r="G170" s="133"/>
      <c r="H170" s="133"/>
      <c r="I170" s="75">
        <v>26</v>
      </c>
      <c r="J170" s="68">
        <f t="shared" si="67"/>
        <v>4642.8571428571431</v>
      </c>
      <c r="K170" s="68">
        <f t="shared" si="68"/>
        <v>0</v>
      </c>
      <c r="L170" s="68">
        <f t="shared" si="77"/>
        <v>232.14285714285717</v>
      </c>
      <c r="M170" s="68"/>
      <c r="N170" s="68">
        <f t="shared" si="80"/>
        <v>742.85714285714289</v>
      </c>
      <c r="O170" s="68"/>
      <c r="P170" s="68">
        <f t="shared" si="84"/>
        <v>4873.1428571428569</v>
      </c>
      <c r="Q170" s="68"/>
      <c r="R170" s="68">
        <v>0</v>
      </c>
      <c r="S170" s="68">
        <v>0</v>
      </c>
      <c r="T170" s="68">
        <f t="shared" si="83"/>
        <v>10491</v>
      </c>
      <c r="U170" s="69">
        <f t="shared" si="78"/>
        <v>557.14285714285711</v>
      </c>
      <c r="V170" s="69">
        <f t="shared" si="75"/>
        <v>184</v>
      </c>
      <c r="W170" s="68">
        <v>0</v>
      </c>
      <c r="X170" s="68">
        <v>0</v>
      </c>
      <c r="Y170" s="68">
        <f t="shared" si="65"/>
        <v>741.14285714285711</v>
      </c>
      <c r="Z170" s="68">
        <f t="shared" si="69"/>
        <v>9749.8571428571431</v>
      </c>
      <c r="AA170" s="68">
        <v>0</v>
      </c>
      <c r="AB170" s="68">
        <f t="shared" si="70"/>
        <v>9749.8571428571431</v>
      </c>
      <c r="AC170" s="69">
        <f t="shared" si="79"/>
        <v>610.53571428571433</v>
      </c>
      <c r="AD170" s="69">
        <f t="shared" si="71"/>
        <v>499</v>
      </c>
      <c r="AE170" s="70">
        <f t="shared" si="72"/>
        <v>0</v>
      </c>
      <c r="AF170" s="71">
        <f t="shared" si="81"/>
        <v>1109.5357142857142</v>
      </c>
      <c r="AG170" s="71">
        <f t="shared" si="73"/>
        <v>11600.535714285714</v>
      </c>
    </row>
    <row r="171" spans="1:33" x14ac:dyDescent="0.2">
      <c r="A171" s="74" t="s">
        <v>1390</v>
      </c>
      <c r="B171" s="75" t="e">
        <f>#REF!+1</f>
        <v>#REF!</v>
      </c>
      <c r="C171" s="75" t="s">
        <v>1365</v>
      </c>
      <c r="D171" s="97" t="s">
        <v>50</v>
      </c>
      <c r="E171" s="97" t="s">
        <v>238</v>
      </c>
      <c r="F171" s="76">
        <v>42900</v>
      </c>
      <c r="G171" s="133"/>
      <c r="H171" s="133"/>
      <c r="I171" s="75">
        <v>31</v>
      </c>
      <c r="J171" s="68">
        <f t="shared" si="67"/>
        <v>5535.7142857142862</v>
      </c>
      <c r="K171" s="68">
        <f t="shared" si="68"/>
        <v>0</v>
      </c>
      <c r="L171" s="68">
        <f t="shared" si="77"/>
        <v>276.78571428571433</v>
      </c>
      <c r="M171" s="68"/>
      <c r="N171" s="68">
        <f t="shared" si="80"/>
        <v>885.71428571428578</v>
      </c>
      <c r="O171" s="68"/>
      <c r="P171" s="68">
        <f t="shared" si="84"/>
        <v>5810.2857142857138</v>
      </c>
      <c r="Q171" s="68"/>
      <c r="R171" s="68">
        <v>0</v>
      </c>
      <c r="S171" s="68">
        <v>0</v>
      </c>
      <c r="T171" s="68">
        <f t="shared" si="83"/>
        <v>12508.5</v>
      </c>
      <c r="U171" s="69">
        <f t="shared" si="78"/>
        <v>664.28571428571433</v>
      </c>
      <c r="V171" s="69">
        <f t="shared" si="75"/>
        <v>219</v>
      </c>
      <c r="W171" s="68">
        <v>0</v>
      </c>
      <c r="X171" s="68">
        <v>0</v>
      </c>
      <c r="Y171" s="68">
        <f t="shared" ref="Y171:Y220" si="85">SUM(U171:X171)</f>
        <v>883.28571428571433</v>
      </c>
      <c r="Z171" s="68">
        <f t="shared" si="69"/>
        <v>11625.214285714286</v>
      </c>
      <c r="AA171" s="68">
        <v>0</v>
      </c>
      <c r="AB171" s="68">
        <f t="shared" si="70"/>
        <v>11625.214285714286</v>
      </c>
      <c r="AC171" s="69">
        <f t="shared" si="79"/>
        <v>727.94642857142867</v>
      </c>
      <c r="AD171" s="69">
        <f t="shared" si="71"/>
        <v>595</v>
      </c>
      <c r="AE171" s="70">
        <f t="shared" si="72"/>
        <v>0</v>
      </c>
      <c r="AF171" s="71">
        <f t="shared" si="81"/>
        <v>1322.9464285714287</v>
      </c>
      <c r="AG171" s="71">
        <f t="shared" si="73"/>
        <v>13831.446428571429</v>
      </c>
    </row>
    <row r="172" spans="1:33" x14ac:dyDescent="0.2">
      <c r="A172" s="74" t="s">
        <v>1391</v>
      </c>
      <c r="B172" s="75" t="e">
        <f t="shared" si="74"/>
        <v>#REF!</v>
      </c>
      <c r="C172" s="75" t="s">
        <v>1366</v>
      </c>
      <c r="D172" s="97" t="s">
        <v>50</v>
      </c>
      <c r="E172" s="97" t="s">
        <v>238</v>
      </c>
      <c r="F172" s="76">
        <v>42901</v>
      </c>
      <c r="G172" s="133"/>
      <c r="H172" s="133"/>
      <c r="I172" s="75">
        <v>25</v>
      </c>
      <c r="J172" s="68">
        <f t="shared" si="67"/>
        <v>4464.2857142857147</v>
      </c>
      <c r="K172" s="68">
        <f t="shared" si="68"/>
        <v>0</v>
      </c>
      <c r="L172" s="68">
        <f t="shared" si="77"/>
        <v>223.21428571428575</v>
      </c>
      <c r="M172" s="68"/>
      <c r="N172" s="68">
        <f t="shared" si="80"/>
        <v>714.28571428571433</v>
      </c>
      <c r="O172" s="68"/>
      <c r="P172" s="68">
        <f t="shared" si="84"/>
        <v>4685.7142857142853</v>
      </c>
      <c r="Q172" s="68"/>
      <c r="R172" s="68">
        <v>0</v>
      </c>
      <c r="S172" s="68">
        <v>0</v>
      </c>
      <c r="T172" s="68">
        <f t="shared" si="83"/>
        <v>10087.5</v>
      </c>
      <c r="U172" s="69">
        <f t="shared" si="78"/>
        <v>535.71428571428578</v>
      </c>
      <c r="V172" s="69">
        <f t="shared" si="75"/>
        <v>177</v>
      </c>
      <c r="W172" s="68">
        <v>0</v>
      </c>
      <c r="X172" s="68">
        <v>0</v>
      </c>
      <c r="Y172" s="68">
        <f t="shared" si="85"/>
        <v>712.71428571428578</v>
      </c>
      <c r="Z172" s="68">
        <f t="shared" si="69"/>
        <v>9374.7857142857138</v>
      </c>
      <c r="AA172" s="68">
        <v>0</v>
      </c>
      <c r="AB172" s="68">
        <f t="shared" si="70"/>
        <v>9374.7857142857138</v>
      </c>
      <c r="AC172" s="69">
        <f t="shared" si="79"/>
        <v>587.05357142857156</v>
      </c>
      <c r="AD172" s="69">
        <f t="shared" si="71"/>
        <v>480</v>
      </c>
      <c r="AE172" s="70">
        <f t="shared" si="72"/>
        <v>0</v>
      </c>
      <c r="AF172" s="71">
        <f t="shared" si="81"/>
        <v>1067.0535714285716</v>
      </c>
      <c r="AG172" s="71">
        <f t="shared" si="73"/>
        <v>11154.553571428572</v>
      </c>
    </row>
    <row r="173" spans="1:33" x14ac:dyDescent="0.2">
      <c r="A173" s="74" t="s">
        <v>1392</v>
      </c>
      <c r="B173" s="75" t="e">
        <f t="shared" si="74"/>
        <v>#REF!</v>
      </c>
      <c r="C173" s="75" t="s">
        <v>1367</v>
      </c>
      <c r="D173" s="97" t="s">
        <v>50</v>
      </c>
      <c r="E173" s="97" t="s">
        <v>239</v>
      </c>
      <c r="F173" s="76">
        <v>42902</v>
      </c>
      <c r="G173" s="133"/>
      <c r="H173" s="133"/>
      <c r="I173" s="75">
        <v>31</v>
      </c>
      <c r="J173" s="68">
        <f t="shared" si="67"/>
        <v>5535.7142857142862</v>
      </c>
      <c r="K173" s="68">
        <f t="shared" si="68"/>
        <v>0</v>
      </c>
      <c r="L173" s="68">
        <f t="shared" si="77"/>
        <v>276.78571428571433</v>
      </c>
      <c r="M173" s="68"/>
      <c r="N173" s="68">
        <f t="shared" si="80"/>
        <v>885.71428571428578</v>
      </c>
      <c r="O173" s="68"/>
      <c r="P173" s="68">
        <f>((4230)/I$3)*I173</f>
        <v>4683.2142857142862</v>
      </c>
      <c r="Q173" s="68"/>
      <c r="R173" s="68">
        <v>0</v>
      </c>
      <c r="S173" s="68">
        <v>0</v>
      </c>
      <c r="T173" s="68">
        <f t="shared" si="83"/>
        <v>11381.428571428572</v>
      </c>
      <c r="U173" s="69">
        <f t="shared" si="78"/>
        <v>664.28571428571433</v>
      </c>
      <c r="V173" s="69">
        <f t="shared" si="75"/>
        <v>200</v>
      </c>
      <c r="W173" s="68">
        <v>0</v>
      </c>
      <c r="X173" s="68">
        <v>0</v>
      </c>
      <c r="Y173" s="68">
        <f t="shared" si="85"/>
        <v>864.28571428571433</v>
      </c>
      <c r="Z173" s="68">
        <f t="shared" si="69"/>
        <v>10517.142857142859</v>
      </c>
      <c r="AA173" s="68">
        <v>0</v>
      </c>
      <c r="AB173" s="68">
        <f t="shared" si="70"/>
        <v>10517.142857142859</v>
      </c>
      <c r="AC173" s="69">
        <f t="shared" si="79"/>
        <v>727.94642857142867</v>
      </c>
      <c r="AD173" s="69">
        <f t="shared" si="71"/>
        <v>541</v>
      </c>
      <c r="AE173" s="70">
        <f t="shared" si="72"/>
        <v>0</v>
      </c>
      <c r="AF173" s="71">
        <f t="shared" si="81"/>
        <v>1268.9464285714287</v>
      </c>
      <c r="AG173" s="71">
        <f t="shared" si="73"/>
        <v>12650.375000000002</v>
      </c>
    </row>
    <row r="174" spans="1:33" x14ac:dyDescent="0.2">
      <c r="A174" s="74" t="s">
        <v>1420</v>
      </c>
      <c r="B174" s="75" t="e">
        <f t="shared" si="74"/>
        <v>#REF!</v>
      </c>
      <c r="C174" s="75" t="s">
        <v>1393</v>
      </c>
      <c r="D174" s="97" t="s">
        <v>50</v>
      </c>
      <c r="E174" s="97" t="s">
        <v>581</v>
      </c>
      <c r="F174" s="76">
        <v>42903</v>
      </c>
      <c r="G174" s="133"/>
      <c r="H174" s="133"/>
      <c r="I174" s="75">
        <v>13</v>
      </c>
      <c r="J174" s="68">
        <f t="shared" si="67"/>
        <v>2321.4285714285716</v>
      </c>
      <c r="K174" s="68">
        <f t="shared" si="68"/>
        <v>0</v>
      </c>
      <c r="L174" s="68">
        <f t="shared" si="77"/>
        <v>116.07142857142858</v>
      </c>
      <c r="M174" s="68"/>
      <c r="N174" s="68">
        <f t="shared" si="80"/>
        <v>371.42857142857144</v>
      </c>
      <c r="O174" s="68"/>
      <c r="P174" s="68">
        <f>((4230)/I$3)*I174</f>
        <v>1963.9285714285716</v>
      </c>
      <c r="Q174" s="68"/>
      <c r="R174" s="68">
        <v>0</v>
      </c>
      <c r="S174" s="68">
        <v>0</v>
      </c>
      <c r="T174" s="68">
        <f t="shared" si="83"/>
        <v>4772.8571428571431</v>
      </c>
      <c r="U174" s="69">
        <f t="shared" si="78"/>
        <v>278.57142857142856</v>
      </c>
      <c r="V174" s="69">
        <f t="shared" si="75"/>
        <v>84</v>
      </c>
      <c r="W174" s="68">
        <v>0</v>
      </c>
      <c r="X174" s="68">
        <v>0</v>
      </c>
      <c r="Y174" s="68">
        <f t="shared" si="85"/>
        <v>362.57142857142856</v>
      </c>
      <c r="Z174" s="68">
        <f t="shared" si="69"/>
        <v>4410.2857142857147</v>
      </c>
      <c r="AA174" s="68">
        <v>0</v>
      </c>
      <c r="AB174" s="68">
        <f t="shared" si="70"/>
        <v>4410.2857142857147</v>
      </c>
      <c r="AC174" s="69">
        <f t="shared" si="79"/>
        <v>305.26785714285717</v>
      </c>
      <c r="AD174" s="69">
        <f t="shared" si="71"/>
        <v>227</v>
      </c>
      <c r="AE174" s="70">
        <f t="shared" si="72"/>
        <v>0</v>
      </c>
      <c r="AF174" s="71">
        <f t="shared" si="81"/>
        <v>532.26785714285711</v>
      </c>
      <c r="AG174" s="71">
        <f t="shared" si="73"/>
        <v>5305.125</v>
      </c>
    </row>
    <row r="175" spans="1:33" x14ac:dyDescent="0.2">
      <c r="A175" s="74" t="s">
        <v>1422</v>
      </c>
      <c r="B175" s="75" t="e">
        <f>#REF!+1</f>
        <v>#REF!</v>
      </c>
      <c r="C175" s="75" t="s">
        <v>1066</v>
      </c>
      <c r="D175" s="97" t="s">
        <v>50</v>
      </c>
      <c r="E175" s="97" t="s">
        <v>234</v>
      </c>
      <c r="F175" s="76">
        <v>42904</v>
      </c>
      <c r="G175" s="133"/>
      <c r="H175" s="133"/>
      <c r="I175" s="75">
        <v>19</v>
      </c>
      <c r="J175" s="68">
        <f t="shared" si="67"/>
        <v>3392.8571428571431</v>
      </c>
      <c r="K175" s="68">
        <f t="shared" si="68"/>
        <v>0</v>
      </c>
      <c r="L175" s="68">
        <f t="shared" si="77"/>
        <v>169.64285714285717</v>
      </c>
      <c r="M175" s="68"/>
      <c r="N175" s="68">
        <f t="shared" si="80"/>
        <v>542.85714285714289</v>
      </c>
      <c r="O175" s="68"/>
      <c r="P175" s="68">
        <f t="shared" ref="P175:P181" si="86">((5248)/I$3)*I175</f>
        <v>3561.1428571428569</v>
      </c>
      <c r="Q175" s="68"/>
      <c r="R175" s="68">
        <v>0</v>
      </c>
      <c r="S175" s="68">
        <v>0</v>
      </c>
      <c r="T175" s="68">
        <f t="shared" si="83"/>
        <v>7666.5</v>
      </c>
      <c r="U175" s="69">
        <f t="shared" si="78"/>
        <v>407.14285714285717</v>
      </c>
      <c r="V175" s="69">
        <f t="shared" si="75"/>
        <v>135</v>
      </c>
      <c r="W175" s="68">
        <v>0</v>
      </c>
      <c r="X175" s="68">
        <v>0</v>
      </c>
      <c r="Y175" s="68">
        <f t="shared" si="85"/>
        <v>542.14285714285711</v>
      </c>
      <c r="Z175" s="68">
        <f t="shared" si="69"/>
        <v>7124.3571428571431</v>
      </c>
      <c r="AA175" s="68">
        <v>0</v>
      </c>
      <c r="AB175" s="68">
        <f t="shared" si="70"/>
        <v>7124.3571428571431</v>
      </c>
      <c r="AC175" s="69">
        <f t="shared" si="79"/>
        <v>446.16071428571433</v>
      </c>
      <c r="AD175" s="69">
        <f t="shared" si="71"/>
        <v>365</v>
      </c>
      <c r="AE175" s="70">
        <f t="shared" si="72"/>
        <v>0</v>
      </c>
      <c r="AF175" s="71">
        <f t="shared" si="81"/>
        <v>811.16071428571433</v>
      </c>
      <c r="AG175" s="71">
        <f t="shared" si="73"/>
        <v>8477.6607142857138</v>
      </c>
    </row>
    <row r="176" spans="1:33" x14ac:dyDescent="0.2">
      <c r="A176" s="74" t="s">
        <v>1424</v>
      </c>
      <c r="B176" s="75" t="e">
        <f t="shared" si="74"/>
        <v>#REF!</v>
      </c>
      <c r="C176" s="75" t="s">
        <v>1396</v>
      </c>
      <c r="D176" s="97" t="s">
        <v>50</v>
      </c>
      <c r="E176" s="97" t="s">
        <v>234</v>
      </c>
      <c r="F176" s="76">
        <v>42905</v>
      </c>
      <c r="G176" s="133"/>
      <c r="H176" s="133"/>
      <c r="I176" s="75">
        <v>29</v>
      </c>
      <c r="J176" s="68">
        <f t="shared" si="67"/>
        <v>5178.5714285714294</v>
      </c>
      <c r="K176" s="68">
        <f t="shared" si="68"/>
        <v>0</v>
      </c>
      <c r="L176" s="68">
        <f t="shared" si="77"/>
        <v>258.9285714285715</v>
      </c>
      <c r="M176" s="68"/>
      <c r="N176" s="68">
        <f t="shared" si="80"/>
        <v>828.57142857142867</v>
      </c>
      <c r="O176" s="68"/>
      <c r="P176" s="68">
        <f t="shared" si="86"/>
        <v>5435.4285714285706</v>
      </c>
      <c r="Q176" s="68"/>
      <c r="R176" s="68">
        <v>0</v>
      </c>
      <c r="S176" s="68">
        <v>0</v>
      </c>
      <c r="T176" s="68">
        <f t="shared" si="83"/>
        <v>11701.5</v>
      </c>
      <c r="U176" s="69">
        <f t="shared" si="78"/>
        <v>621.42857142857144</v>
      </c>
      <c r="V176" s="69">
        <f t="shared" si="75"/>
        <v>205</v>
      </c>
      <c r="W176" s="68">
        <v>0</v>
      </c>
      <c r="X176" s="68">
        <v>0</v>
      </c>
      <c r="Y176" s="68">
        <f t="shared" si="85"/>
        <v>826.42857142857144</v>
      </c>
      <c r="Z176" s="68">
        <f t="shared" si="69"/>
        <v>10875.071428571429</v>
      </c>
      <c r="AA176" s="68">
        <v>0</v>
      </c>
      <c r="AB176" s="68">
        <f t="shared" si="70"/>
        <v>10875.071428571429</v>
      </c>
      <c r="AC176" s="69">
        <f t="shared" si="79"/>
        <v>680.982142857143</v>
      </c>
      <c r="AD176" s="69">
        <f t="shared" si="71"/>
        <v>556</v>
      </c>
      <c r="AE176" s="70">
        <f t="shared" si="72"/>
        <v>0</v>
      </c>
      <c r="AF176" s="71">
        <f t="shared" si="81"/>
        <v>1236.9821428571431</v>
      </c>
      <c r="AG176" s="71">
        <f t="shared" si="73"/>
        <v>12938.482142857143</v>
      </c>
    </row>
    <row r="177" spans="1:33" x14ac:dyDescent="0.2">
      <c r="A177" s="74" t="s">
        <v>1428</v>
      </c>
      <c r="B177" s="75" t="e">
        <f>#REF!+1</f>
        <v>#REF!</v>
      </c>
      <c r="C177" s="75" t="s">
        <v>1400</v>
      </c>
      <c r="D177" s="97" t="s">
        <v>50</v>
      </c>
      <c r="E177" s="97" t="s">
        <v>234</v>
      </c>
      <c r="F177" s="76">
        <v>42906</v>
      </c>
      <c r="G177" s="133"/>
      <c r="H177" s="133"/>
      <c r="I177" s="75">
        <v>1</v>
      </c>
      <c r="J177" s="68">
        <f t="shared" ref="J177:J233" si="87">(5000/I$3)*I177</f>
        <v>178.57142857142858</v>
      </c>
      <c r="K177" s="68">
        <f t="shared" ref="K177:K233" si="88">((0)/I$3)*I177</f>
        <v>0</v>
      </c>
      <c r="L177" s="68">
        <f t="shared" si="77"/>
        <v>8.9285714285714288</v>
      </c>
      <c r="M177" s="68"/>
      <c r="N177" s="68">
        <f t="shared" si="80"/>
        <v>28.571428571428573</v>
      </c>
      <c r="O177" s="68"/>
      <c r="P177" s="68">
        <f t="shared" si="86"/>
        <v>187.42857142857142</v>
      </c>
      <c r="Q177" s="68"/>
      <c r="R177" s="68">
        <v>0</v>
      </c>
      <c r="S177" s="68">
        <v>0</v>
      </c>
      <c r="T177" s="68">
        <f t="shared" si="83"/>
        <v>403.5</v>
      </c>
      <c r="U177" s="69">
        <f t="shared" si="78"/>
        <v>21.428571428571431</v>
      </c>
      <c r="V177" s="69">
        <f t="shared" si="75"/>
        <v>8</v>
      </c>
      <c r="W177" s="68">
        <v>0</v>
      </c>
      <c r="X177" s="68">
        <v>0</v>
      </c>
      <c r="Y177" s="68">
        <f t="shared" si="85"/>
        <v>29.428571428571431</v>
      </c>
      <c r="Z177" s="68">
        <f t="shared" ref="Z177:Z233" si="89">T177-Y177</f>
        <v>374.07142857142856</v>
      </c>
      <c r="AA177" s="68">
        <v>0</v>
      </c>
      <c r="AB177" s="68">
        <f t="shared" ref="AB177:AB233" si="90">Z177-AA177</f>
        <v>374.07142857142856</v>
      </c>
      <c r="AC177" s="69">
        <f t="shared" si="79"/>
        <v>23.482142857142861</v>
      </c>
      <c r="AD177" s="69">
        <f t="shared" ref="AD177:AD233" si="91">CEILING((T177)*4.75%,1)</f>
        <v>20</v>
      </c>
      <c r="AE177" s="70">
        <f t="shared" ref="AE177:AE233" si="92">X177*3</f>
        <v>0</v>
      </c>
      <c r="AF177" s="71">
        <f t="shared" si="81"/>
        <v>43.482142857142861</v>
      </c>
      <c r="AG177" s="71">
        <f t="shared" ref="AG177:AG233" si="93">T177+AF177</f>
        <v>446.98214285714289</v>
      </c>
    </row>
    <row r="178" spans="1:33" x14ac:dyDescent="0.2">
      <c r="A178" s="74" t="s">
        <v>1429</v>
      </c>
      <c r="B178" s="75" t="e">
        <f t="shared" ref="B178:B234" si="94">B177+1</f>
        <v>#REF!</v>
      </c>
      <c r="C178" s="75" t="s">
        <v>1401</v>
      </c>
      <c r="D178" s="97" t="s">
        <v>50</v>
      </c>
      <c r="E178" s="97" t="s">
        <v>234</v>
      </c>
      <c r="F178" s="76">
        <v>42907</v>
      </c>
      <c r="G178" s="133"/>
      <c r="H178" s="133"/>
      <c r="I178" s="75">
        <v>27</v>
      </c>
      <c r="J178" s="68">
        <f t="shared" si="87"/>
        <v>4821.4285714285716</v>
      </c>
      <c r="K178" s="68">
        <f t="shared" si="88"/>
        <v>0</v>
      </c>
      <c r="L178" s="68">
        <f t="shared" si="77"/>
        <v>241.07142857142858</v>
      </c>
      <c r="M178" s="68"/>
      <c r="N178" s="68">
        <f t="shared" si="80"/>
        <v>771.42857142857144</v>
      </c>
      <c r="O178" s="68"/>
      <c r="P178" s="68">
        <f t="shared" si="86"/>
        <v>5060.5714285714284</v>
      </c>
      <c r="Q178" s="68"/>
      <c r="R178" s="68">
        <v>0</v>
      </c>
      <c r="S178" s="68">
        <v>0</v>
      </c>
      <c r="T178" s="68">
        <f t="shared" si="83"/>
        <v>10894.5</v>
      </c>
      <c r="U178" s="69">
        <f t="shared" si="78"/>
        <v>578.57142857142856</v>
      </c>
      <c r="V178" s="69">
        <f t="shared" ref="V178:V234" si="95">ROUNDUP((T178*1.75%),0)</f>
        <v>191</v>
      </c>
      <c r="W178" s="68">
        <v>0</v>
      </c>
      <c r="X178" s="68">
        <v>0</v>
      </c>
      <c r="Y178" s="68">
        <f t="shared" si="85"/>
        <v>769.57142857142856</v>
      </c>
      <c r="Z178" s="68">
        <f t="shared" si="89"/>
        <v>10124.928571428571</v>
      </c>
      <c r="AA178" s="68">
        <v>0</v>
      </c>
      <c r="AB178" s="68">
        <f t="shared" si="90"/>
        <v>10124.928571428571</v>
      </c>
      <c r="AC178" s="69">
        <f t="shared" si="79"/>
        <v>634.01785714285722</v>
      </c>
      <c r="AD178" s="69">
        <f t="shared" si="91"/>
        <v>518</v>
      </c>
      <c r="AE178" s="70">
        <f t="shared" si="92"/>
        <v>0</v>
      </c>
      <c r="AF178" s="71">
        <f t="shared" si="81"/>
        <v>1152.0178571428573</v>
      </c>
      <c r="AG178" s="71">
        <f t="shared" si="93"/>
        <v>12046.517857142857</v>
      </c>
    </row>
    <row r="179" spans="1:33" x14ac:dyDescent="0.2">
      <c r="A179" s="74" t="s">
        <v>1432</v>
      </c>
      <c r="B179" s="75" t="e">
        <f>#REF!+1</f>
        <v>#REF!</v>
      </c>
      <c r="C179" s="75" t="s">
        <v>1404</v>
      </c>
      <c r="D179" s="97" t="s">
        <v>50</v>
      </c>
      <c r="E179" s="97" t="s">
        <v>234</v>
      </c>
      <c r="F179" s="76">
        <v>42908</v>
      </c>
      <c r="G179" s="133"/>
      <c r="H179" s="133"/>
      <c r="I179" s="75">
        <v>5</v>
      </c>
      <c r="J179" s="68">
        <f t="shared" si="87"/>
        <v>892.85714285714289</v>
      </c>
      <c r="K179" s="68">
        <f t="shared" si="88"/>
        <v>0</v>
      </c>
      <c r="L179" s="68">
        <f t="shared" si="77"/>
        <v>44.642857142857146</v>
      </c>
      <c r="M179" s="68"/>
      <c r="N179" s="68">
        <f t="shared" si="80"/>
        <v>142.85714285714286</v>
      </c>
      <c r="O179" s="68"/>
      <c r="P179" s="68">
        <f t="shared" si="86"/>
        <v>937.14285714285711</v>
      </c>
      <c r="Q179" s="68"/>
      <c r="R179" s="68">
        <v>0</v>
      </c>
      <c r="S179" s="68">
        <v>0</v>
      </c>
      <c r="T179" s="68">
        <f t="shared" si="83"/>
        <v>2017.5</v>
      </c>
      <c r="U179" s="69">
        <f t="shared" si="78"/>
        <v>107.14285714285714</v>
      </c>
      <c r="V179" s="69">
        <f t="shared" si="95"/>
        <v>36</v>
      </c>
      <c r="W179" s="68">
        <v>0</v>
      </c>
      <c r="X179" s="68">
        <v>0</v>
      </c>
      <c r="Y179" s="68">
        <f t="shared" si="85"/>
        <v>143.14285714285714</v>
      </c>
      <c r="Z179" s="68">
        <f t="shared" si="89"/>
        <v>1874.3571428571429</v>
      </c>
      <c r="AA179" s="68">
        <v>0</v>
      </c>
      <c r="AB179" s="68">
        <f t="shared" si="90"/>
        <v>1874.3571428571429</v>
      </c>
      <c r="AC179" s="69">
        <f t="shared" si="79"/>
        <v>117.41071428571429</v>
      </c>
      <c r="AD179" s="69">
        <f t="shared" si="91"/>
        <v>96</v>
      </c>
      <c r="AE179" s="70">
        <f t="shared" si="92"/>
        <v>0</v>
      </c>
      <c r="AF179" s="71">
        <f t="shared" si="81"/>
        <v>213.41071428571428</v>
      </c>
      <c r="AG179" s="71">
        <f t="shared" si="93"/>
        <v>2230.9107142857142</v>
      </c>
    </row>
    <row r="180" spans="1:33" x14ac:dyDescent="0.2">
      <c r="A180" s="74" t="s">
        <v>1446</v>
      </c>
      <c r="B180" s="75" t="e">
        <f t="shared" si="94"/>
        <v>#REF!</v>
      </c>
      <c r="C180" s="75" t="s">
        <v>367</v>
      </c>
      <c r="D180" s="97" t="s">
        <v>50</v>
      </c>
      <c r="E180" s="97" t="s">
        <v>234</v>
      </c>
      <c r="F180" s="76">
        <v>42909</v>
      </c>
      <c r="G180" s="133"/>
      <c r="H180" s="133"/>
      <c r="I180" s="75">
        <v>30</v>
      </c>
      <c r="J180" s="68">
        <f t="shared" si="87"/>
        <v>5357.1428571428578</v>
      </c>
      <c r="K180" s="68">
        <f t="shared" si="88"/>
        <v>0</v>
      </c>
      <c r="L180" s="68">
        <f t="shared" si="77"/>
        <v>267.85714285714289</v>
      </c>
      <c r="M180" s="68"/>
      <c r="N180" s="68">
        <f t="shared" si="80"/>
        <v>857.14285714285722</v>
      </c>
      <c r="O180" s="68"/>
      <c r="P180" s="68">
        <f t="shared" si="86"/>
        <v>5622.8571428571422</v>
      </c>
      <c r="Q180" s="68"/>
      <c r="R180" s="68">
        <v>0</v>
      </c>
      <c r="S180" s="68">
        <v>0</v>
      </c>
      <c r="T180" s="68">
        <f t="shared" si="83"/>
        <v>12105</v>
      </c>
      <c r="U180" s="69">
        <f t="shared" si="78"/>
        <v>642.85714285714289</v>
      </c>
      <c r="V180" s="69">
        <f t="shared" si="95"/>
        <v>212</v>
      </c>
      <c r="W180" s="68">
        <v>0</v>
      </c>
      <c r="X180" s="68">
        <v>0</v>
      </c>
      <c r="Y180" s="68">
        <f t="shared" si="85"/>
        <v>854.85714285714289</v>
      </c>
      <c r="Z180" s="68">
        <f t="shared" si="89"/>
        <v>11250.142857142857</v>
      </c>
      <c r="AA180" s="68">
        <v>0</v>
      </c>
      <c r="AB180" s="68">
        <f t="shared" si="90"/>
        <v>11250.142857142857</v>
      </c>
      <c r="AC180" s="69">
        <f t="shared" si="79"/>
        <v>704.46428571428578</v>
      </c>
      <c r="AD180" s="69">
        <f t="shared" si="91"/>
        <v>575</v>
      </c>
      <c r="AE180" s="70">
        <f t="shared" si="92"/>
        <v>0</v>
      </c>
      <c r="AF180" s="71">
        <f t="shared" si="81"/>
        <v>1279.4642857142858</v>
      </c>
      <c r="AG180" s="71">
        <f t="shared" si="93"/>
        <v>13384.464285714286</v>
      </c>
    </row>
    <row r="181" spans="1:33" x14ac:dyDescent="0.2">
      <c r="A181" s="74" t="s">
        <v>1433</v>
      </c>
      <c r="B181" s="75" t="e">
        <f t="shared" si="94"/>
        <v>#REF!</v>
      </c>
      <c r="C181" s="75" t="s">
        <v>1405</v>
      </c>
      <c r="D181" s="97" t="s">
        <v>50</v>
      </c>
      <c r="E181" s="97" t="s">
        <v>234</v>
      </c>
      <c r="F181" s="76">
        <v>42910</v>
      </c>
      <c r="G181" s="133"/>
      <c r="H181" s="133"/>
      <c r="I181" s="75">
        <v>28</v>
      </c>
      <c r="J181" s="68">
        <f t="shared" si="87"/>
        <v>5000</v>
      </c>
      <c r="K181" s="68">
        <f t="shared" si="88"/>
        <v>0</v>
      </c>
      <c r="L181" s="68">
        <f t="shared" si="77"/>
        <v>250</v>
      </c>
      <c r="M181" s="68"/>
      <c r="N181" s="68">
        <f t="shared" si="80"/>
        <v>800</v>
      </c>
      <c r="O181" s="68"/>
      <c r="P181" s="68">
        <f t="shared" si="86"/>
        <v>5248</v>
      </c>
      <c r="Q181" s="68"/>
      <c r="R181" s="68">
        <v>0</v>
      </c>
      <c r="S181" s="68">
        <v>0</v>
      </c>
      <c r="T181" s="68">
        <f t="shared" si="83"/>
        <v>11298</v>
      </c>
      <c r="U181" s="69">
        <f t="shared" si="78"/>
        <v>600</v>
      </c>
      <c r="V181" s="69">
        <f t="shared" si="95"/>
        <v>198</v>
      </c>
      <c r="W181" s="68">
        <v>0</v>
      </c>
      <c r="X181" s="68">
        <v>0</v>
      </c>
      <c r="Y181" s="68">
        <f t="shared" si="85"/>
        <v>798</v>
      </c>
      <c r="Z181" s="68">
        <f t="shared" si="89"/>
        <v>10500</v>
      </c>
      <c r="AA181" s="68">
        <v>0</v>
      </c>
      <c r="AB181" s="68">
        <f t="shared" si="90"/>
        <v>10500</v>
      </c>
      <c r="AC181" s="69">
        <f t="shared" si="79"/>
        <v>657.5</v>
      </c>
      <c r="AD181" s="69">
        <f t="shared" si="91"/>
        <v>537</v>
      </c>
      <c r="AE181" s="70">
        <f t="shared" si="92"/>
        <v>0</v>
      </c>
      <c r="AF181" s="71">
        <f t="shared" si="81"/>
        <v>1194.5</v>
      </c>
      <c r="AG181" s="71">
        <f t="shared" si="93"/>
        <v>12492.5</v>
      </c>
    </row>
    <row r="182" spans="1:33" x14ac:dyDescent="0.2">
      <c r="A182" s="74" t="s">
        <v>1447</v>
      </c>
      <c r="B182" s="75" t="e">
        <f t="shared" si="94"/>
        <v>#REF!</v>
      </c>
      <c r="C182" s="75" t="s">
        <v>1406</v>
      </c>
      <c r="D182" s="97" t="s">
        <v>50</v>
      </c>
      <c r="E182" s="97" t="s">
        <v>238</v>
      </c>
      <c r="F182" s="76">
        <v>42911</v>
      </c>
      <c r="G182" s="133"/>
      <c r="H182" s="133"/>
      <c r="I182" s="75">
        <v>30</v>
      </c>
      <c r="J182" s="68">
        <f t="shared" si="87"/>
        <v>5357.1428571428578</v>
      </c>
      <c r="K182" s="68">
        <f t="shared" si="88"/>
        <v>0</v>
      </c>
      <c r="L182" s="68">
        <f t="shared" si="77"/>
        <v>267.85714285714289</v>
      </c>
      <c r="M182" s="68"/>
      <c r="N182" s="68">
        <f t="shared" si="80"/>
        <v>857.14285714285722</v>
      </c>
      <c r="O182" s="68"/>
      <c r="P182" s="68">
        <f>((6851)/I$3)*I182</f>
        <v>7340.3571428571422</v>
      </c>
      <c r="Q182" s="68"/>
      <c r="R182" s="68">
        <v>0</v>
      </c>
      <c r="S182" s="68">
        <v>0</v>
      </c>
      <c r="T182" s="68">
        <f t="shared" si="83"/>
        <v>13822.5</v>
      </c>
      <c r="U182" s="69">
        <f t="shared" si="78"/>
        <v>642.85714285714289</v>
      </c>
      <c r="V182" s="69">
        <f t="shared" si="95"/>
        <v>242</v>
      </c>
      <c r="W182" s="68">
        <v>0</v>
      </c>
      <c r="X182" s="68">
        <v>0</v>
      </c>
      <c r="Y182" s="68">
        <f t="shared" si="85"/>
        <v>884.85714285714289</v>
      </c>
      <c r="Z182" s="68">
        <f t="shared" si="89"/>
        <v>12937.642857142857</v>
      </c>
      <c r="AA182" s="68">
        <v>0</v>
      </c>
      <c r="AB182" s="68">
        <f t="shared" si="90"/>
        <v>12937.642857142857</v>
      </c>
      <c r="AC182" s="69">
        <f t="shared" si="79"/>
        <v>704.46428571428578</v>
      </c>
      <c r="AD182" s="69">
        <f t="shared" si="91"/>
        <v>657</v>
      </c>
      <c r="AE182" s="70">
        <f t="shared" si="92"/>
        <v>0</v>
      </c>
      <c r="AF182" s="71">
        <f t="shared" si="81"/>
        <v>1361.4642857142858</v>
      </c>
      <c r="AG182" s="71">
        <f t="shared" si="93"/>
        <v>15183.964285714286</v>
      </c>
    </row>
    <row r="183" spans="1:33" x14ac:dyDescent="0.2">
      <c r="A183" s="74" t="s">
        <v>1435</v>
      </c>
      <c r="B183" s="75" t="e">
        <f t="shared" si="94"/>
        <v>#REF!</v>
      </c>
      <c r="C183" s="75" t="s">
        <v>1408</v>
      </c>
      <c r="D183" s="97" t="s">
        <v>50</v>
      </c>
      <c r="E183" s="97" t="s">
        <v>238</v>
      </c>
      <c r="F183" s="76">
        <v>42912</v>
      </c>
      <c r="G183" s="133"/>
      <c r="H183" s="133"/>
      <c r="I183" s="75">
        <v>30</v>
      </c>
      <c r="J183" s="68">
        <f t="shared" si="87"/>
        <v>5357.1428571428578</v>
      </c>
      <c r="K183" s="68">
        <f t="shared" si="88"/>
        <v>0</v>
      </c>
      <c r="L183" s="68">
        <f t="shared" si="77"/>
        <v>267.85714285714289</v>
      </c>
      <c r="M183" s="68"/>
      <c r="N183" s="68">
        <f t="shared" si="80"/>
        <v>857.14285714285722</v>
      </c>
      <c r="O183" s="68"/>
      <c r="P183" s="68">
        <f>((5248)/I$3)*I183</f>
        <v>5622.8571428571422</v>
      </c>
      <c r="Q183" s="68"/>
      <c r="R183" s="68">
        <v>0</v>
      </c>
      <c r="S183" s="68">
        <v>0</v>
      </c>
      <c r="T183" s="68">
        <f t="shared" si="83"/>
        <v>12105</v>
      </c>
      <c r="U183" s="69">
        <f t="shared" si="78"/>
        <v>642.85714285714289</v>
      </c>
      <c r="V183" s="69">
        <f t="shared" si="95"/>
        <v>212</v>
      </c>
      <c r="W183" s="68">
        <v>0</v>
      </c>
      <c r="X183" s="68">
        <v>0</v>
      </c>
      <c r="Y183" s="68">
        <f t="shared" si="85"/>
        <v>854.85714285714289</v>
      </c>
      <c r="Z183" s="68">
        <f t="shared" si="89"/>
        <v>11250.142857142857</v>
      </c>
      <c r="AA183" s="68">
        <v>0</v>
      </c>
      <c r="AB183" s="68">
        <f t="shared" si="90"/>
        <v>11250.142857142857</v>
      </c>
      <c r="AC183" s="69">
        <f t="shared" si="79"/>
        <v>704.46428571428578</v>
      </c>
      <c r="AD183" s="69">
        <f t="shared" si="91"/>
        <v>575</v>
      </c>
      <c r="AE183" s="70">
        <f t="shared" si="92"/>
        <v>0</v>
      </c>
      <c r="AF183" s="71">
        <f t="shared" si="81"/>
        <v>1279.4642857142858</v>
      </c>
      <c r="AG183" s="71">
        <f t="shared" si="93"/>
        <v>13384.464285714286</v>
      </c>
    </row>
    <row r="184" spans="1:33" x14ac:dyDescent="0.2">
      <c r="A184" s="74" t="s">
        <v>1448</v>
      </c>
      <c r="B184" s="75" t="e">
        <f t="shared" si="94"/>
        <v>#REF!</v>
      </c>
      <c r="C184" s="75" t="s">
        <v>1409</v>
      </c>
      <c r="D184" s="97" t="s">
        <v>50</v>
      </c>
      <c r="E184" s="97" t="s">
        <v>239</v>
      </c>
      <c r="F184" s="76">
        <v>42913</v>
      </c>
      <c r="G184" s="133"/>
      <c r="H184" s="133"/>
      <c r="I184" s="75">
        <v>31</v>
      </c>
      <c r="J184" s="68">
        <f t="shared" si="87"/>
        <v>5535.7142857142862</v>
      </c>
      <c r="K184" s="68">
        <f t="shared" si="88"/>
        <v>0</v>
      </c>
      <c r="L184" s="68">
        <f t="shared" si="77"/>
        <v>276.78571428571433</v>
      </c>
      <c r="M184" s="68"/>
      <c r="N184" s="68">
        <f t="shared" si="80"/>
        <v>885.71428571428578</v>
      </c>
      <c r="O184" s="68"/>
      <c r="P184" s="68">
        <f>((5248)/I$3)*I184</f>
        <v>5810.2857142857138</v>
      </c>
      <c r="Q184" s="68"/>
      <c r="R184" s="68">
        <v>0</v>
      </c>
      <c r="S184" s="68">
        <v>0</v>
      </c>
      <c r="T184" s="68">
        <f t="shared" si="83"/>
        <v>12508.5</v>
      </c>
      <c r="U184" s="69">
        <f t="shared" si="78"/>
        <v>664.28571428571433</v>
      </c>
      <c r="V184" s="69">
        <f t="shared" si="95"/>
        <v>219</v>
      </c>
      <c r="W184" s="68">
        <v>0</v>
      </c>
      <c r="X184" s="68">
        <v>0</v>
      </c>
      <c r="Y184" s="68">
        <f t="shared" si="85"/>
        <v>883.28571428571433</v>
      </c>
      <c r="Z184" s="68">
        <f t="shared" si="89"/>
        <v>11625.214285714286</v>
      </c>
      <c r="AA184" s="68">
        <v>0</v>
      </c>
      <c r="AB184" s="68">
        <f t="shared" si="90"/>
        <v>11625.214285714286</v>
      </c>
      <c r="AC184" s="69">
        <f t="shared" si="79"/>
        <v>727.94642857142867</v>
      </c>
      <c r="AD184" s="69">
        <f t="shared" si="91"/>
        <v>595</v>
      </c>
      <c r="AE184" s="70">
        <f t="shared" si="92"/>
        <v>0</v>
      </c>
      <c r="AF184" s="71">
        <f t="shared" si="81"/>
        <v>1322.9464285714287</v>
      </c>
      <c r="AG184" s="71">
        <f t="shared" si="93"/>
        <v>13831.446428571429</v>
      </c>
    </row>
    <row r="185" spans="1:33" x14ac:dyDescent="0.2">
      <c r="A185" s="74" t="s">
        <v>1436</v>
      </c>
      <c r="B185" s="75" t="e">
        <f t="shared" si="94"/>
        <v>#REF!</v>
      </c>
      <c r="C185" s="75" t="s">
        <v>1410</v>
      </c>
      <c r="D185" s="97" t="s">
        <v>50</v>
      </c>
      <c r="E185" s="97" t="s">
        <v>237</v>
      </c>
      <c r="F185" s="76">
        <v>42914</v>
      </c>
      <c r="G185" s="133"/>
      <c r="H185" s="133"/>
      <c r="I185" s="75">
        <v>28</v>
      </c>
      <c r="J185" s="68">
        <f t="shared" si="87"/>
        <v>5000</v>
      </c>
      <c r="K185" s="68">
        <f t="shared" si="88"/>
        <v>0</v>
      </c>
      <c r="L185" s="68">
        <f t="shared" si="77"/>
        <v>250</v>
      </c>
      <c r="M185" s="68"/>
      <c r="N185" s="68">
        <f t="shared" si="80"/>
        <v>800</v>
      </c>
      <c r="O185" s="68"/>
      <c r="P185" s="68">
        <f>((6266)/I$3)*I185</f>
        <v>6266</v>
      </c>
      <c r="Q185" s="68"/>
      <c r="R185" s="68">
        <v>0</v>
      </c>
      <c r="S185" s="68">
        <v>0</v>
      </c>
      <c r="T185" s="68">
        <f t="shared" si="83"/>
        <v>12316</v>
      </c>
      <c r="U185" s="69">
        <f t="shared" si="78"/>
        <v>600</v>
      </c>
      <c r="V185" s="69">
        <f t="shared" si="95"/>
        <v>216</v>
      </c>
      <c r="W185" s="68">
        <v>0</v>
      </c>
      <c r="X185" s="68">
        <v>0</v>
      </c>
      <c r="Y185" s="68">
        <f t="shared" si="85"/>
        <v>816</v>
      </c>
      <c r="Z185" s="68">
        <f t="shared" si="89"/>
        <v>11500</v>
      </c>
      <c r="AA185" s="68">
        <v>0</v>
      </c>
      <c r="AB185" s="68">
        <f t="shared" si="90"/>
        <v>11500</v>
      </c>
      <c r="AC185" s="69">
        <f t="shared" si="79"/>
        <v>657.5</v>
      </c>
      <c r="AD185" s="69">
        <f t="shared" si="91"/>
        <v>586</v>
      </c>
      <c r="AE185" s="70">
        <f t="shared" si="92"/>
        <v>0</v>
      </c>
      <c r="AF185" s="71">
        <f t="shared" si="81"/>
        <v>1243.5</v>
      </c>
      <c r="AG185" s="71">
        <f t="shared" si="93"/>
        <v>13559.5</v>
      </c>
    </row>
    <row r="186" spans="1:33" x14ac:dyDescent="0.2">
      <c r="A186" s="74" t="s">
        <v>1437</v>
      </c>
      <c r="B186" s="75" t="e">
        <f t="shared" si="94"/>
        <v>#REF!</v>
      </c>
      <c r="C186" s="75" t="s">
        <v>1411</v>
      </c>
      <c r="D186" s="97" t="s">
        <v>50</v>
      </c>
      <c r="E186" s="97" t="s">
        <v>237</v>
      </c>
      <c r="F186" s="76">
        <v>42915</v>
      </c>
      <c r="G186" s="133"/>
      <c r="H186" s="133"/>
      <c r="I186" s="75">
        <v>14</v>
      </c>
      <c r="J186" s="68">
        <f t="shared" si="87"/>
        <v>2500</v>
      </c>
      <c r="K186" s="68">
        <f t="shared" si="88"/>
        <v>0</v>
      </c>
      <c r="L186" s="68">
        <f t="shared" si="77"/>
        <v>125</v>
      </c>
      <c r="M186" s="68"/>
      <c r="N186" s="68">
        <f t="shared" si="80"/>
        <v>400</v>
      </c>
      <c r="O186" s="68"/>
      <c r="P186" s="68">
        <f>((5248)/I$3)*I186</f>
        <v>2624</v>
      </c>
      <c r="Q186" s="68"/>
      <c r="R186" s="68">
        <v>0</v>
      </c>
      <c r="S186" s="68">
        <v>0</v>
      </c>
      <c r="T186" s="68">
        <f t="shared" si="83"/>
        <v>5649</v>
      </c>
      <c r="U186" s="69">
        <f t="shared" si="78"/>
        <v>300</v>
      </c>
      <c r="V186" s="69">
        <f t="shared" si="95"/>
        <v>99</v>
      </c>
      <c r="W186" s="68">
        <v>0</v>
      </c>
      <c r="X186" s="68">
        <v>0</v>
      </c>
      <c r="Y186" s="68">
        <f t="shared" si="85"/>
        <v>399</v>
      </c>
      <c r="Z186" s="68">
        <f t="shared" si="89"/>
        <v>5250</v>
      </c>
      <c r="AA186" s="68">
        <v>0</v>
      </c>
      <c r="AB186" s="68">
        <f t="shared" si="90"/>
        <v>5250</v>
      </c>
      <c r="AC186" s="69">
        <f t="shared" si="79"/>
        <v>328.75</v>
      </c>
      <c r="AD186" s="69">
        <f t="shared" si="91"/>
        <v>269</v>
      </c>
      <c r="AE186" s="70">
        <f t="shared" si="92"/>
        <v>0</v>
      </c>
      <c r="AF186" s="71">
        <f t="shared" si="81"/>
        <v>597.75</v>
      </c>
      <c r="AG186" s="71">
        <f t="shared" si="93"/>
        <v>6246.75</v>
      </c>
    </row>
    <row r="187" spans="1:33" x14ac:dyDescent="0.2">
      <c r="A187" s="74" t="s">
        <v>1450</v>
      </c>
      <c r="B187" s="75" t="e">
        <f t="shared" si="94"/>
        <v>#REF!</v>
      </c>
      <c r="C187" s="75" t="s">
        <v>1412</v>
      </c>
      <c r="D187" s="97" t="s">
        <v>50</v>
      </c>
      <c r="E187" s="97" t="s">
        <v>237</v>
      </c>
      <c r="F187" s="76">
        <v>42916</v>
      </c>
      <c r="G187" s="133"/>
      <c r="H187" s="133"/>
      <c r="I187" s="75">
        <v>3</v>
      </c>
      <c r="J187" s="68">
        <f t="shared" si="87"/>
        <v>535.71428571428578</v>
      </c>
      <c r="K187" s="68">
        <f t="shared" si="88"/>
        <v>0</v>
      </c>
      <c r="L187" s="68">
        <f t="shared" si="77"/>
        <v>26.785714285714292</v>
      </c>
      <c r="M187" s="68"/>
      <c r="N187" s="68">
        <f t="shared" si="80"/>
        <v>85.714285714285722</v>
      </c>
      <c r="O187" s="68"/>
      <c r="P187" s="68">
        <f>((5248)/I$3)*I187</f>
        <v>562.28571428571422</v>
      </c>
      <c r="Q187" s="68"/>
      <c r="R187" s="68">
        <v>0</v>
      </c>
      <c r="S187" s="68">
        <v>0</v>
      </c>
      <c r="T187" s="68">
        <f t="shared" si="83"/>
        <v>1210.5</v>
      </c>
      <c r="U187" s="69">
        <f t="shared" si="78"/>
        <v>64.285714285714292</v>
      </c>
      <c r="V187" s="69">
        <f t="shared" si="95"/>
        <v>22</v>
      </c>
      <c r="W187" s="68">
        <v>0</v>
      </c>
      <c r="X187" s="68">
        <v>0</v>
      </c>
      <c r="Y187" s="68">
        <f t="shared" si="85"/>
        <v>86.285714285714292</v>
      </c>
      <c r="Z187" s="68">
        <f t="shared" si="89"/>
        <v>1124.2142857142858</v>
      </c>
      <c r="AA187" s="68">
        <v>0</v>
      </c>
      <c r="AB187" s="68">
        <f t="shared" si="90"/>
        <v>1124.2142857142858</v>
      </c>
      <c r="AC187" s="69">
        <f t="shared" si="79"/>
        <v>70.446428571428584</v>
      </c>
      <c r="AD187" s="69">
        <f t="shared" si="91"/>
        <v>58</v>
      </c>
      <c r="AE187" s="70">
        <f t="shared" si="92"/>
        <v>0</v>
      </c>
      <c r="AF187" s="71">
        <f t="shared" si="81"/>
        <v>128.44642857142858</v>
      </c>
      <c r="AG187" s="71">
        <f t="shared" si="93"/>
        <v>1338.9464285714287</v>
      </c>
    </row>
    <row r="188" spans="1:33" x14ac:dyDescent="0.2">
      <c r="A188" s="74" t="s">
        <v>1438</v>
      </c>
      <c r="B188" s="75" t="e">
        <f t="shared" si="94"/>
        <v>#REF!</v>
      </c>
      <c r="C188" s="75" t="s">
        <v>1413</v>
      </c>
      <c r="D188" s="97" t="s">
        <v>50</v>
      </c>
      <c r="E188" s="97" t="s">
        <v>237</v>
      </c>
      <c r="F188" s="76">
        <v>42917</v>
      </c>
      <c r="G188" s="133"/>
      <c r="H188" s="133"/>
      <c r="I188" s="75">
        <v>29</v>
      </c>
      <c r="J188" s="68">
        <f t="shared" si="87"/>
        <v>5178.5714285714294</v>
      </c>
      <c r="K188" s="68">
        <f t="shared" si="88"/>
        <v>0</v>
      </c>
      <c r="L188" s="68">
        <f t="shared" si="77"/>
        <v>258.9285714285715</v>
      </c>
      <c r="M188" s="68"/>
      <c r="N188" s="68">
        <f t="shared" si="80"/>
        <v>828.57142857142867</v>
      </c>
      <c r="O188" s="68"/>
      <c r="P188" s="68">
        <f>((5248)/I$3)*I188</f>
        <v>5435.4285714285706</v>
      </c>
      <c r="Q188" s="68"/>
      <c r="R188" s="68">
        <v>0</v>
      </c>
      <c r="S188" s="68">
        <v>0</v>
      </c>
      <c r="T188" s="68">
        <f t="shared" si="83"/>
        <v>11701.5</v>
      </c>
      <c r="U188" s="69">
        <f t="shared" si="78"/>
        <v>621.42857142857144</v>
      </c>
      <c r="V188" s="69">
        <f t="shared" si="95"/>
        <v>205</v>
      </c>
      <c r="W188" s="68">
        <v>0</v>
      </c>
      <c r="X188" s="68">
        <v>0</v>
      </c>
      <c r="Y188" s="68">
        <f t="shared" si="85"/>
        <v>826.42857142857144</v>
      </c>
      <c r="Z188" s="68">
        <f t="shared" si="89"/>
        <v>10875.071428571429</v>
      </c>
      <c r="AA188" s="68">
        <v>0</v>
      </c>
      <c r="AB188" s="68">
        <f t="shared" si="90"/>
        <v>10875.071428571429</v>
      </c>
      <c r="AC188" s="69">
        <f t="shared" si="79"/>
        <v>680.982142857143</v>
      </c>
      <c r="AD188" s="69">
        <f t="shared" si="91"/>
        <v>556</v>
      </c>
      <c r="AE188" s="70">
        <f t="shared" si="92"/>
        <v>0</v>
      </c>
      <c r="AF188" s="71">
        <f t="shared" si="81"/>
        <v>1236.9821428571431</v>
      </c>
      <c r="AG188" s="71">
        <f t="shared" si="93"/>
        <v>12938.482142857143</v>
      </c>
    </row>
    <row r="189" spans="1:33" x14ac:dyDescent="0.2">
      <c r="A189" s="74" t="s">
        <v>1449</v>
      </c>
      <c r="B189" s="75" t="e">
        <f t="shared" si="94"/>
        <v>#REF!</v>
      </c>
      <c r="C189" s="75" t="s">
        <v>949</v>
      </c>
      <c r="D189" s="97" t="s">
        <v>50</v>
      </c>
      <c r="E189" s="97" t="s">
        <v>237</v>
      </c>
      <c r="F189" s="76">
        <v>42918</v>
      </c>
      <c r="G189" s="133"/>
      <c r="H189" s="133"/>
      <c r="I189" s="75">
        <v>1</v>
      </c>
      <c r="J189" s="68">
        <f t="shared" si="87"/>
        <v>178.57142857142858</v>
      </c>
      <c r="K189" s="68">
        <f t="shared" si="88"/>
        <v>0</v>
      </c>
      <c r="L189" s="68">
        <f t="shared" si="77"/>
        <v>8.9285714285714288</v>
      </c>
      <c r="M189" s="68"/>
      <c r="N189" s="68">
        <f t="shared" si="80"/>
        <v>28.571428571428573</v>
      </c>
      <c r="O189" s="68"/>
      <c r="P189" s="68">
        <f>((5248)/I$3)*I189</f>
        <v>187.42857142857142</v>
      </c>
      <c r="Q189" s="68"/>
      <c r="R189" s="68">
        <v>0</v>
      </c>
      <c r="S189" s="68">
        <v>0</v>
      </c>
      <c r="T189" s="68">
        <f t="shared" si="83"/>
        <v>403.5</v>
      </c>
      <c r="U189" s="69">
        <f t="shared" si="78"/>
        <v>21.428571428571431</v>
      </c>
      <c r="V189" s="69">
        <f t="shared" si="95"/>
        <v>8</v>
      </c>
      <c r="W189" s="68">
        <v>0</v>
      </c>
      <c r="X189" s="68">
        <v>0</v>
      </c>
      <c r="Y189" s="68">
        <f t="shared" si="85"/>
        <v>29.428571428571431</v>
      </c>
      <c r="Z189" s="68">
        <f t="shared" si="89"/>
        <v>374.07142857142856</v>
      </c>
      <c r="AA189" s="68">
        <v>0</v>
      </c>
      <c r="AB189" s="68">
        <f t="shared" si="90"/>
        <v>374.07142857142856</v>
      </c>
      <c r="AC189" s="69">
        <f t="shared" si="79"/>
        <v>23.482142857142861</v>
      </c>
      <c r="AD189" s="69">
        <f t="shared" si="91"/>
        <v>20</v>
      </c>
      <c r="AE189" s="70">
        <f t="shared" si="92"/>
        <v>0</v>
      </c>
      <c r="AF189" s="71">
        <f t="shared" si="81"/>
        <v>43.482142857142861</v>
      </c>
      <c r="AG189" s="71">
        <f t="shared" si="93"/>
        <v>446.98214285714289</v>
      </c>
    </row>
    <row r="190" spans="1:33" x14ac:dyDescent="0.2">
      <c r="A190" s="74" t="s">
        <v>1439</v>
      </c>
      <c r="B190" s="75" t="e">
        <f t="shared" si="94"/>
        <v>#REF!</v>
      </c>
      <c r="C190" s="75" t="s">
        <v>1414</v>
      </c>
      <c r="D190" s="97" t="s">
        <v>50</v>
      </c>
      <c r="E190" s="97" t="s">
        <v>241</v>
      </c>
      <c r="F190" s="76">
        <v>42919</v>
      </c>
      <c r="G190" s="133"/>
      <c r="H190" s="133"/>
      <c r="I190" s="75">
        <v>2</v>
      </c>
      <c r="J190" s="68">
        <f t="shared" si="87"/>
        <v>357.14285714285717</v>
      </c>
      <c r="K190" s="68">
        <f t="shared" si="88"/>
        <v>0</v>
      </c>
      <c r="L190" s="68">
        <f t="shared" si="77"/>
        <v>17.857142857142858</v>
      </c>
      <c r="M190" s="68"/>
      <c r="N190" s="68">
        <f t="shared" si="80"/>
        <v>57.142857142857146</v>
      </c>
      <c r="O190" s="68"/>
      <c r="P190" s="68">
        <f>((4230)/I$3)*I190</f>
        <v>302.14285714285717</v>
      </c>
      <c r="Q190" s="68"/>
      <c r="R190" s="68">
        <v>0</v>
      </c>
      <c r="S190" s="68">
        <v>0</v>
      </c>
      <c r="T190" s="68">
        <f t="shared" si="83"/>
        <v>734.28571428571433</v>
      </c>
      <c r="U190" s="69">
        <f t="shared" si="78"/>
        <v>42.857142857142861</v>
      </c>
      <c r="V190" s="69">
        <f t="shared" si="95"/>
        <v>13</v>
      </c>
      <c r="W190" s="68">
        <v>0</v>
      </c>
      <c r="X190" s="68">
        <v>0</v>
      </c>
      <c r="Y190" s="68">
        <f t="shared" si="85"/>
        <v>55.857142857142861</v>
      </c>
      <c r="Z190" s="68">
        <f t="shared" si="89"/>
        <v>678.42857142857144</v>
      </c>
      <c r="AA190" s="68">
        <v>0</v>
      </c>
      <c r="AB190" s="68">
        <f t="shared" si="90"/>
        <v>678.42857142857144</v>
      </c>
      <c r="AC190" s="69">
        <f t="shared" si="79"/>
        <v>46.964285714285722</v>
      </c>
      <c r="AD190" s="69">
        <f t="shared" si="91"/>
        <v>35</v>
      </c>
      <c r="AE190" s="70">
        <f t="shared" si="92"/>
        <v>0</v>
      </c>
      <c r="AF190" s="71">
        <f t="shared" si="81"/>
        <v>81.964285714285722</v>
      </c>
      <c r="AG190" s="71">
        <f t="shared" si="93"/>
        <v>816.25</v>
      </c>
    </row>
    <row r="191" spans="1:33" x14ac:dyDescent="0.2">
      <c r="A191" s="74" t="s">
        <v>1441</v>
      </c>
      <c r="B191" s="75" t="e">
        <f>#REF!+1</f>
        <v>#REF!</v>
      </c>
      <c r="C191" s="75" t="s">
        <v>1416</v>
      </c>
      <c r="D191" s="97" t="s">
        <v>50</v>
      </c>
      <c r="E191" s="97" t="s">
        <v>241</v>
      </c>
      <c r="F191" s="76">
        <v>42920</v>
      </c>
      <c r="G191" s="133"/>
      <c r="H191" s="133"/>
      <c r="I191" s="75">
        <v>18</v>
      </c>
      <c r="J191" s="68">
        <f t="shared" si="87"/>
        <v>3214.2857142857147</v>
      </c>
      <c r="K191" s="68">
        <f t="shared" si="88"/>
        <v>0</v>
      </c>
      <c r="L191" s="68">
        <f t="shared" si="77"/>
        <v>160.71428571428575</v>
      </c>
      <c r="M191" s="68"/>
      <c r="N191" s="68">
        <f t="shared" si="80"/>
        <v>514.28571428571433</v>
      </c>
      <c r="O191" s="68"/>
      <c r="P191" s="68">
        <f>((4230)/I$3)*I191</f>
        <v>2719.2857142857147</v>
      </c>
      <c r="Q191" s="68"/>
      <c r="R191" s="68">
        <v>0</v>
      </c>
      <c r="S191" s="68">
        <v>0</v>
      </c>
      <c r="T191" s="68">
        <f t="shared" ref="T191:T222" si="96">SUM(J191:S191)</f>
        <v>6608.5714285714294</v>
      </c>
      <c r="U191" s="69">
        <f t="shared" si="78"/>
        <v>385.71428571428572</v>
      </c>
      <c r="V191" s="69">
        <f t="shared" si="95"/>
        <v>116</v>
      </c>
      <c r="W191" s="68">
        <v>0</v>
      </c>
      <c r="X191" s="68">
        <v>0</v>
      </c>
      <c r="Y191" s="68">
        <f t="shared" si="85"/>
        <v>501.71428571428572</v>
      </c>
      <c r="Z191" s="68">
        <f t="shared" si="89"/>
        <v>6106.857142857144</v>
      </c>
      <c r="AA191" s="68">
        <v>0</v>
      </c>
      <c r="AB191" s="68">
        <f t="shared" si="90"/>
        <v>6106.857142857144</v>
      </c>
      <c r="AC191" s="69">
        <f t="shared" si="79"/>
        <v>422.6785714285715</v>
      </c>
      <c r="AD191" s="69">
        <f t="shared" si="91"/>
        <v>314</v>
      </c>
      <c r="AE191" s="70">
        <f t="shared" si="92"/>
        <v>0</v>
      </c>
      <c r="AF191" s="71">
        <f t="shared" si="81"/>
        <v>736.67857142857156</v>
      </c>
      <c r="AG191" s="71">
        <f t="shared" si="93"/>
        <v>7345.2500000000009</v>
      </c>
    </row>
    <row r="192" spans="1:33" x14ac:dyDescent="0.2">
      <c r="A192" s="74" t="s">
        <v>1442</v>
      </c>
      <c r="B192" s="75" t="e">
        <f t="shared" si="94"/>
        <v>#REF!</v>
      </c>
      <c r="C192" s="75" t="s">
        <v>1443</v>
      </c>
      <c r="D192" s="97" t="s">
        <v>50</v>
      </c>
      <c r="E192" s="97" t="s">
        <v>241</v>
      </c>
      <c r="F192" s="76">
        <v>42921</v>
      </c>
      <c r="G192" s="133"/>
      <c r="H192" s="133"/>
      <c r="I192" s="75">
        <v>29</v>
      </c>
      <c r="J192" s="68">
        <f t="shared" si="87"/>
        <v>5178.5714285714294</v>
      </c>
      <c r="K192" s="68">
        <f t="shared" si="88"/>
        <v>0</v>
      </c>
      <c r="L192" s="68">
        <f t="shared" si="77"/>
        <v>258.9285714285715</v>
      </c>
      <c r="M192" s="68"/>
      <c r="N192" s="68">
        <f t="shared" si="80"/>
        <v>828.57142857142867</v>
      </c>
      <c r="O192" s="68"/>
      <c r="P192" s="68">
        <f>((4230)/I$3)*I192</f>
        <v>4381.0714285714294</v>
      </c>
      <c r="Q192" s="68"/>
      <c r="R192" s="68">
        <v>0</v>
      </c>
      <c r="S192" s="68">
        <v>0</v>
      </c>
      <c r="T192" s="68">
        <f t="shared" si="96"/>
        <v>10647.142857142859</v>
      </c>
      <c r="U192" s="69">
        <f t="shared" si="78"/>
        <v>621.42857142857144</v>
      </c>
      <c r="V192" s="69">
        <f t="shared" si="95"/>
        <v>187</v>
      </c>
      <c r="W192" s="68">
        <v>0</v>
      </c>
      <c r="X192" s="68">
        <v>0</v>
      </c>
      <c r="Y192" s="68">
        <f t="shared" si="85"/>
        <v>808.42857142857144</v>
      </c>
      <c r="Z192" s="68">
        <f t="shared" si="89"/>
        <v>9838.7142857142881</v>
      </c>
      <c r="AA192" s="68">
        <v>0</v>
      </c>
      <c r="AB192" s="68">
        <f t="shared" si="90"/>
        <v>9838.7142857142881</v>
      </c>
      <c r="AC192" s="69">
        <f t="shared" si="79"/>
        <v>680.982142857143</v>
      </c>
      <c r="AD192" s="69">
        <f t="shared" si="91"/>
        <v>506</v>
      </c>
      <c r="AE192" s="70">
        <f t="shared" si="92"/>
        <v>0</v>
      </c>
      <c r="AF192" s="71">
        <f t="shared" si="81"/>
        <v>1186.9821428571431</v>
      </c>
      <c r="AG192" s="71">
        <f t="shared" si="93"/>
        <v>11834.125000000002</v>
      </c>
    </row>
    <row r="193" spans="1:33" x14ac:dyDescent="0.2">
      <c r="A193" s="74" t="s">
        <v>1580</v>
      </c>
      <c r="B193" s="75" t="e">
        <f t="shared" si="94"/>
        <v>#REF!</v>
      </c>
      <c r="C193" s="75" t="s">
        <v>1454</v>
      </c>
      <c r="D193" s="97" t="s">
        <v>50</v>
      </c>
      <c r="E193" s="97" t="s">
        <v>235</v>
      </c>
      <c r="F193" s="76">
        <v>42922</v>
      </c>
      <c r="G193" s="133"/>
      <c r="H193" s="133"/>
      <c r="I193" s="75">
        <v>28</v>
      </c>
      <c r="J193" s="68">
        <f t="shared" si="87"/>
        <v>5000</v>
      </c>
      <c r="K193" s="68">
        <f t="shared" si="88"/>
        <v>0</v>
      </c>
      <c r="L193" s="68">
        <f t="shared" si="77"/>
        <v>250</v>
      </c>
      <c r="M193" s="68"/>
      <c r="N193" s="68">
        <f t="shared" si="80"/>
        <v>800</v>
      </c>
      <c r="O193" s="68"/>
      <c r="P193" s="68">
        <f>((5248+509)/I$3)*I193</f>
        <v>5757</v>
      </c>
      <c r="Q193" s="68"/>
      <c r="R193" s="68">
        <v>0</v>
      </c>
      <c r="S193" s="68">
        <v>0</v>
      </c>
      <c r="T193" s="68">
        <f t="shared" si="96"/>
        <v>11807</v>
      </c>
      <c r="U193" s="69">
        <f t="shared" si="78"/>
        <v>600</v>
      </c>
      <c r="V193" s="69">
        <f t="shared" si="95"/>
        <v>207</v>
      </c>
      <c r="W193" s="68">
        <v>0</v>
      </c>
      <c r="X193" s="68">
        <v>0</v>
      </c>
      <c r="Y193" s="68">
        <f t="shared" si="85"/>
        <v>807</v>
      </c>
      <c r="Z193" s="68">
        <f t="shared" si="89"/>
        <v>11000</v>
      </c>
      <c r="AA193" s="68">
        <v>0</v>
      </c>
      <c r="AB193" s="68">
        <f t="shared" si="90"/>
        <v>11000</v>
      </c>
      <c r="AC193" s="69">
        <f t="shared" si="79"/>
        <v>657.5</v>
      </c>
      <c r="AD193" s="69">
        <f t="shared" si="91"/>
        <v>561</v>
      </c>
      <c r="AE193" s="70">
        <f t="shared" si="92"/>
        <v>0</v>
      </c>
      <c r="AF193" s="71">
        <f t="shared" si="81"/>
        <v>1218.5</v>
      </c>
      <c r="AG193" s="71">
        <f t="shared" si="93"/>
        <v>13025.5</v>
      </c>
    </row>
    <row r="194" spans="1:33" x14ac:dyDescent="0.2">
      <c r="A194" s="74" t="s">
        <v>1581</v>
      </c>
      <c r="B194" s="75" t="e">
        <f t="shared" si="94"/>
        <v>#REF!</v>
      </c>
      <c r="C194" s="75" t="s">
        <v>1455</v>
      </c>
      <c r="D194" s="97" t="s">
        <v>50</v>
      </c>
      <c r="E194" s="97" t="s">
        <v>1451</v>
      </c>
      <c r="F194" s="76">
        <v>42923</v>
      </c>
      <c r="G194" s="133"/>
      <c r="H194" s="133"/>
      <c r="I194" s="75">
        <v>32</v>
      </c>
      <c r="J194" s="68">
        <f t="shared" si="87"/>
        <v>5714.2857142857147</v>
      </c>
      <c r="K194" s="68">
        <f t="shared" si="88"/>
        <v>0</v>
      </c>
      <c r="L194" s="68">
        <f t="shared" si="77"/>
        <v>285.71428571428572</v>
      </c>
      <c r="M194" s="68"/>
      <c r="N194" s="68">
        <f t="shared" si="80"/>
        <v>914.28571428571433</v>
      </c>
      <c r="O194" s="68"/>
      <c r="P194" s="68">
        <f>((5248-1018)/I$3)*I194</f>
        <v>4834.2857142857147</v>
      </c>
      <c r="Q194" s="68"/>
      <c r="R194" s="68">
        <v>0</v>
      </c>
      <c r="S194" s="68">
        <v>0</v>
      </c>
      <c r="T194" s="68">
        <f t="shared" si="96"/>
        <v>11748.571428571429</v>
      </c>
      <c r="U194" s="69">
        <f t="shared" si="78"/>
        <v>685.71428571428578</v>
      </c>
      <c r="V194" s="69">
        <f t="shared" si="95"/>
        <v>206</v>
      </c>
      <c r="W194" s="68">
        <v>0</v>
      </c>
      <c r="X194" s="68">
        <v>0</v>
      </c>
      <c r="Y194" s="68">
        <f t="shared" si="85"/>
        <v>891.71428571428578</v>
      </c>
      <c r="Z194" s="68">
        <f t="shared" si="89"/>
        <v>10856.857142857143</v>
      </c>
      <c r="AA194" s="68">
        <v>0</v>
      </c>
      <c r="AB194" s="68">
        <f t="shared" si="90"/>
        <v>10856.857142857143</v>
      </c>
      <c r="AC194" s="69">
        <f t="shared" si="79"/>
        <v>751.42857142857156</v>
      </c>
      <c r="AD194" s="69">
        <f t="shared" si="91"/>
        <v>559</v>
      </c>
      <c r="AE194" s="70">
        <f t="shared" si="92"/>
        <v>0</v>
      </c>
      <c r="AF194" s="71">
        <f t="shared" ref="AF194:AF249" si="97">SUM(AC194:AE194)</f>
        <v>1310.4285714285716</v>
      </c>
      <c r="AG194" s="71">
        <f t="shared" si="93"/>
        <v>13059</v>
      </c>
    </row>
    <row r="195" spans="1:33" x14ac:dyDescent="0.2">
      <c r="A195" s="74" t="s">
        <v>1582</v>
      </c>
      <c r="B195" s="75" t="e">
        <f t="shared" si="94"/>
        <v>#REF!</v>
      </c>
      <c r="C195" s="75" t="s">
        <v>1456</v>
      </c>
      <c r="D195" s="97" t="s">
        <v>50</v>
      </c>
      <c r="E195" s="97" t="s">
        <v>581</v>
      </c>
      <c r="F195" s="76">
        <v>42924</v>
      </c>
      <c r="G195" s="133"/>
      <c r="H195" s="133"/>
      <c r="I195" s="75">
        <v>31</v>
      </c>
      <c r="J195" s="68">
        <f t="shared" si="87"/>
        <v>5535.7142857142862</v>
      </c>
      <c r="K195" s="68">
        <f t="shared" si="88"/>
        <v>0</v>
      </c>
      <c r="L195" s="68">
        <f t="shared" si="77"/>
        <v>276.78571428571433</v>
      </c>
      <c r="M195" s="68"/>
      <c r="N195" s="68">
        <f t="shared" si="80"/>
        <v>885.71428571428578</v>
      </c>
      <c r="O195" s="68"/>
      <c r="P195" s="68">
        <f>((5248+509)/I$3)*I195</f>
        <v>6373.8214285714284</v>
      </c>
      <c r="Q195" s="68"/>
      <c r="R195" s="68">
        <v>0</v>
      </c>
      <c r="S195" s="68">
        <v>0</v>
      </c>
      <c r="T195" s="68">
        <f t="shared" si="96"/>
        <v>13072.035714285714</v>
      </c>
      <c r="U195" s="69">
        <f t="shared" si="78"/>
        <v>664.28571428571433</v>
      </c>
      <c r="V195" s="69">
        <f t="shared" si="95"/>
        <v>229</v>
      </c>
      <c r="W195" s="68">
        <v>0</v>
      </c>
      <c r="X195" s="68">
        <v>0</v>
      </c>
      <c r="Y195" s="68">
        <f t="shared" si="85"/>
        <v>893.28571428571433</v>
      </c>
      <c r="Z195" s="68">
        <f t="shared" si="89"/>
        <v>12178.75</v>
      </c>
      <c r="AA195" s="68">
        <v>0</v>
      </c>
      <c r="AB195" s="68">
        <f t="shared" si="90"/>
        <v>12178.75</v>
      </c>
      <c r="AC195" s="69">
        <f t="shared" si="79"/>
        <v>727.94642857142867</v>
      </c>
      <c r="AD195" s="69">
        <f t="shared" si="91"/>
        <v>621</v>
      </c>
      <c r="AE195" s="70">
        <f t="shared" si="92"/>
        <v>0</v>
      </c>
      <c r="AF195" s="71">
        <f t="shared" si="97"/>
        <v>1348.9464285714287</v>
      </c>
      <c r="AG195" s="71">
        <f t="shared" si="93"/>
        <v>14420.982142857143</v>
      </c>
    </row>
    <row r="196" spans="1:33" x14ac:dyDescent="0.2">
      <c r="A196" s="74" t="s">
        <v>1583</v>
      </c>
      <c r="B196" s="75" t="e">
        <f t="shared" si="94"/>
        <v>#REF!</v>
      </c>
      <c r="C196" s="75" t="s">
        <v>1457</v>
      </c>
      <c r="D196" s="97" t="s">
        <v>50</v>
      </c>
      <c r="E196" s="97" t="s">
        <v>1452</v>
      </c>
      <c r="F196" s="76">
        <v>42925</v>
      </c>
      <c r="G196" s="133"/>
      <c r="H196" s="133"/>
      <c r="I196" s="75">
        <v>31</v>
      </c>
      <c r="J196" s="68">
        <f t="shared" si="87"/>
        <v>5535.7142857142862</v>
      </c>
      <c r="K196" s="68">
        <f t="shared" si="88"/>
        <v>0</v>
      </c>
      <c r="L196" s="68">
        <f t="shared" si="77"/>
        <v>276.78571428571433</v>
      </c>
      <c r="M196" s="68"/>
      <c r="N196" s="68">
        <f t="shared" si="80"/>
        <v>885.71428571428578</v>
      </c>
      <c r="O196" s="68"/>
      <c r="P196" s="68">
        <f>((5248+1527)/I$3)*I196</f>
        <v>7500.8928571428578</v>
      </c>
      <c r="Q196" s="68"/>
      <c r="R196" s="68">
        <v>0</v>
      </c>
      <c r="S196" s="68">
        <v>0</v>
      </c>
      <c r="T196" s="68">
        <f t="shared" si="96"/>
        <v>14199.107142857145</v>
      </c>
      <c r="U196" s="69">
        <f t="shared" si="78"/>
        <v>664.28571428571433</v>
      </c>
      <c r="V196" s="69">
        <f t="shared" si="95"/>
        <v>249</v>
      </c>
      <c r="W196" s="68">
        <v>0</v>
      </c>
      <c r="X196" s="68">
        <v>0</v>
      </c>
      <c r="Y196" s="68">
        <f t="shared" si="85"/>
        <v>913.28571428571433</v>
      </c>
      <c r="Z196" s="68">
        <f t="shared" si="89"/>
        <v>13285.821428571431</v>
      </c>
      <c r="AA196" s="68">
        <v>0</v>
      </c>
      <c r="AB196" s="68">
        <f t="shared" si="90"/>
        <v>13285.821428571431</v>
      </c>
      <c r="AC196" s="69">
        <f t="shared" si="79"/>
        <v>727.94642857142867</v>
      </c>
      <c r="AD196" s="69">
        <f t="shared" si="91"/>
        <v>675</v>
      </c>
      <c r="AE196" s="70">
        <f t="shared" si="92"/>
        <v>0</v>
      </c>
      <c r="AF196" s="71">
        <f t="shared" si="97"/>
        <v>1402.9464285714287</v>
      </c>
      <c r="AG196" s="71">
        <f t="shared" si="93"/>
        <v>15602.053571428574</v>
      </c>
    </row>
    <row r="197" spans="1:33" x14ac:dyDescent="0.2">
      <c r="A197" s="74" t="s">
        <v>1584</v>
      </c>
      <c r="B197" s="75" t="e">
        <f t="shared" si="94"/>
        <v>#REF!</v>
      </c>
      <c r="C197" s="75" t="s">
        <v>1458</v>
      </c>
      <c r="D197" s="97" t="s">
        <v>50</v>
      </c>
      <c r="E197" s="97" t="s">
        <v>581</v>
      </c>
      <c r="F197" s="76">
        <v>42926</v>
      </c>
      <c r="G197" s="133"/>
      <c r="H197" s="133"/>
      <c r="I197" s="75">
        <v>26</v>
      </c>
      <c r="J197" s="68">
        <f t="shared" si="87"/>
        <v>4642.8571428571431</v>
      </c>
      <c r="K197" s="68">
        <f t="shared" si="88"/>
        <v>0</v>
      </c>
      <c r="L197" s="68">
        <f t="shared" si="77"/>
        <v>232.14285714285717</v>
      </c>
      <c r="M197" s="68"/>
      <c r="N197" s="68">
        <f t="shared" si="80"/>
        <v>742.85714285714289</v>
      </c>
      <c r="O197" s="68"/>
      <c r="P197" s="68">
        <f t="shared" ref="P197:P234" si="98">((5248)/I$3)*I197</f>
        <v>4873.1428571428569</v>
      </c>
      <c r="Q197" s="68"/>
      <c r="R197" s="68">
        <v>0</v>
      </c>
      <c r="S197" s="68">
        <v>0</v>
      </c>
      <c r="T197" s="68">
        <f t="shared" si="96"/>
        <v>10491</v>
      </c>
      <c r="U197" s="69">
        <f t="shared" si="78"/>
        <v>557.14285714285711</v>
      </c>
      <c r="V197" s="69">
        <f t="shared" si="95"/>
        <v>184</v>
      </c>
      <c r="W197" s="68">
        <v>0</v>
      </c>
      <c r="X197" s="68">
        <v>0</v>
      </c>
      <c r="Y197" s="68">
        <f t="shared" si="85"/>
        <v>741.14285714285711</v>
      </c>
      <c r="Z197" s="68">
        <f t="shared" si="89"/>
        <v>9749.8571428571431</v>
      </c>
      <c r="AA197" s="68">
        <v>0</v>
      </c>
      <c r="AB197" s="68">
        <f t="shared" si="90"/>
        <v>9749.8571428571431</v>
      </c>
      <c r="AC197" s="69">
        <f t="shared" si="79"/>
        <v>610.53571428571433</v>
      </c>
      <c r="AD197" s="69">
        <f t="shared" si="91"/>
        <v>499</v>
      </c>
      <c r="AE197" s="70">
        <f t="shared" si="92"/>
        <v>0</v>
      </c>
      <c r="AF197" s="71">
        <f t="shared" si="97"/>
        <v>1109.5357142857142</v>
      </c>
      <c r="AG197" s="71">
        <f t="shared" si="93"/>
        <v>11600.535714285714</v>
      </c>
    </row>
    <row r="198" spans="1:33" x14ac:dyDescent="0.2">
      <c r="A198" s="74" t="s">
        <v>272</v>
      </c>
      <c r="B198" s="75" t="e">
        <f t="shared" si="94"/>
        <v>#REF!</v>
      </c>
      <c r="C198" s="75" t="s">
        <v>428</v>
      </c>
      <c r="D198" s="97" t="s">
        <v>50</v>
      </c>
      <c r="E198" s="97" t="s">
        <v>234</v>
      </c>
      <c r="F198" s="76">
        <v>42927</v>
      </c>
      <c r="G198" s="133"/>
      <c r="H198" s="133"/>
      <c r="I198" s="75">
        <v>29</v>
      </c>
      <c r="J198" s="68">
        <f t="shared" si="87"/>
        <v>5178.5714285714294</v>
      </c>
      <c r="K198" s="68">
        <f t="shared" si="88"/>
        <v>0</v>
      </c>
      <c r="L198" s="68">
        <f t="shared" ref="L198:L257" si="99">(J198+K198)*5%</f>
        <v>258.9285714285715</v>
      </c>
      <c r="M198" s="68"/>
      <c r="N198" s="68">
        <f t="shared" si="80"/>
        <v>828.57142857142867</v>
      </c>
      <c r="O198" s="68"/>
      <c r="P198" s="68">
        <f t="shared" si="98"/>
        <v>5435.4285714285706</v>
      </c>
      <c r="Q198" s="68"/>
      <c r="R198" s="68">
        <v>0</v>
      </c>
      <c r="S198" s="68">
        <v>0</v>
      </c>
      <c r="T198" s="68">
        <f t="shared" si="96"/>
        <v>11701.5</v>
      </c>
      <c r="U198" s="69">
        <f t="shared" ref="U198:U257" si="100">(J198+K198)*12%</f>
        <v>621.42857142857144</v>
      </c>
      <c r="V198" s="69">
        <f t="shared" si="95"/>
        <v>205</v>
      </c>
      <c r="W198" s="68">
        <v>0</v>
      </c>
      <c r="X198" s="68">
        <v>0</v>
      </c>
      <c r="Y198" s="68">
        <f t="shared" si="85"/>
        <v>826.42857142857144</v>
      </c>
      <c r="Z198" s="68">
        <f t="shared" si="89"/>
        <v>10875.071428571429</v>
      </c>
      <c r="AA198" s="68">
        <v>0</v>
      </c>
      <c r="AB198" s="68">
        <f t="shared" si="90"/>
        <v>10875.071428571429</v>
      </c>
      <c r="AC198" s="69">
        <f t="shared" ref="AC198:AC257" si="101">(J198+K198)*13.15%</f>
        <v>680.982142857143</v>
      </c>
      <c r="AD198" s="69">
        <f t="shared" si="91"/>
        <v>556</v>
      </c>
      <c r="AE198" s="70">
        <f t="shared" si="92"/>
        <v>0</v>
      </c>
      <c r="AF198" s="71">
        <f t="shared" si="97"/>
        <v>1236.9821428571431</v>
      </c>
      <c r="AG198" s="71">
        <f t="shared" si="93"/>
        <v>12938.482142857143</v>
      </c>
    </row>
    <row r="199" spans="1:33" x14ac:dyDescent="0.2">
      <c r="A199" s="74" t="s">
        <v>1100</v>
      </c>
      <c r="B199" s="75" t="e">
        <f t="shared" si="94"/>
        <v>#REF!</v>
      </c>
      <c r="C199" s="75" t="s">
        <v>357</v>
      </c>
      <c r="D199" s="97" t="s">
        <v>50</v>
      </c>
      <c r="E199" s="97" t="s">
        <v>234</v>
      </c>
      <c r="F199" s="76">
        <v>42928</v>
      </c>
      <c r="G199" s="133"/>
      <c r="H199" s="133"/>
      <c r="I199" s="75">
        <v>3</v>
      </c>
      <c r="J199" s="68">
        <f t="shared" si="87"/>
        <v>535.71428571428578</v>
      </c>
      <c r="K199" s="68">
        <f t="shared" si="88"/>
        <v>0</v>
      </c>
      <c r="L199" s="68">
        <f t="shared" si="99"/>
        <v>26.785714285714292</v>
      </c>
      <c r="M199" s="68"/>
      <c r="N199" s="68">
        <f t="shared" si="80"/>
        <v>85.714285714285722</v>
      </c>
      <c r="O199" s="68"/>
      <c r="P199" s="68">
        <f t="shared" si="98"/>
        <v>562.28571428571422</v>
      </c>
      <c r="Q199" s="68"/>
      <c r="R199" s="68">
        <v>0</v>
      </c>
      <c r="S199" s="68">
        <v>0</v>
      </c>
      <c r="T199" s="68">
        <f t="shared" si="96"/>
        <v>1210.5</v>
      </c>
      <c r="U199" s="69">
        <f t="shared" si="100"/>
        <v>64.285714285714292</v>
      </c>
      <c r="V199" s="69">
        <f t="shared" si="95"/>
        <v>22</v>
      </c>
      <c r="W199" s="68">
        <v>0</v>
      </c>
      <c r="X199" s="68">
        <v>0</v>
      </c>
      <c r="Y199" s="68">
        <f t="shared" si="85"/>
        <v>86.285714285714292</v>
      </c>
      <c r="Z199" s="68">
        <f t="shared" si="89"/>
        <v>1124.2142857142858</v>
      </c>
      <c r="AA199" s="68">
        <v>0</v>
      </c>
      <c r="AB199" s="68">
        <f t="shared" si="90"/>
        <v>1124.2142857142858</v>
      </c>
      <c r="AC199" s="69">
        <f t="shared" si="101"/>
        <v>70.446428571428584</v>
      </c>
      <c r="AD199" s="69">
        <f t="shared" si="91"/>
        <v>58</v>
      </c>
      <c r="AE199" s="70">
        <f t="shared" si="92"/>
        <v>0</v>
      </c>
      <c r="AF199" s="71">
        <f t="shared" si="97"/>
        <v>128.44642857142858</v>
      </c>
      <c r="AG199" s="71">
        <f t="shared" si="93"/>
        <v>1338.9464285714287</v>
      </c>
    </row>
    <row r="200" spans="1:33" x14ac:dyDescent="0.2">
      <c r="A200" s="74" t="s">
        <v>883</v>
      </c>
      <c r="B200" s="75" t="e">
        <f t="shared" si="94"/>
        <v>#REF!</v>
      </c>
      <c r="C200" s="75" t="s">
        <v>1459</v>
      </c>
      <c r="D200" s="97" t="s">
        <v>50</v>
      </c>
      <c r="E200" s="97" t="s">
        <v>234</v>
      </c>
      <c r="F200" s="76">
        <v>42929</v>
      </c>
      <c r="G200" s="133"/>
      <c r="H200" s="133"/>
      <c r="I200" s="75">
        <v>32</v>
      </c>
      <c r="J200" s="68">
        <f t="shared" si="87"/>
        <v>5714.2857142857147</v>
      </c>
      <c r="K200" s="68">
        <f t="shared" si="88"/>
        <v>0</v>
      </c>
      <c r="L200" s="68">
        <f t="shared" si="99"/>
        <v>285.71428571428572</v>
      </c>
      <c r="M200" s="68"/>
      <c r="N200" s="68">
        <f t="shared" ref="N200:N257" si="102">((800)/I$3)*I200</f>
        <v>914.28571428571433</v>
      </c>
      <c r="O200" s="68"/>
      <c r="P200" s="68">
        <f t="shared" si="98"/>
        <v>5997.7142857142853</v>
      </c>
      <c r="Q200" s="68"/>
      <c r="R200" s="68">
        <v>0</v>
      </c>
      <c r="S200" s="68">
        <v>0</v>
      </c>
      <c r="T200" s="68">
        <f t="shared" si="96"/>
        <v>12912</v>
      </c>
      <c r="U200" s="69">
        <f t="shared" si="100"/>
        <v>685.71428571428578</v>
      </c>
      <c r="V200" s="69">
        <f t="shared" si="95"/>
        <v>226</v>
      </c>
      <c r="W200" s="68">
        <v>0</v>
      </c>
      <c r="X200" s="68">
        <v>0</v>
      </c>
      <c r="Y200" s="68">
        <f t="shared" si="85"/>
        <v>911.71428571428578</v>
      </c>
      <c r="Z200" s="68">
        <f t="shared" si="89"/>
        <v>12000.285714285714</v>
      </c>
      <c r="AA200" s="68">
        <v>0</v>
      </c>
      <c r="AB200" s="68">
        <f t="shared" si="90"/>
        <v>12000.285714285714</v>
      </c>
      <c r="AC200" s="69">
        <f t="shared" si="101"/>
        <v>751.42857142857156</v>
      </c>
      <c r="AD200" s="69">
        <f t="shared" si="91"/>
        <v>614</v>
      </c>
      <c r="AE200" s="70">
        <f t="shared" si="92"/>
        <v>0</v>
      </c>
      <c r="AF200" s="71">
        <f t="shared" si="97"/>
        <v>1365.4285714285716</v>
      </c>
      <c r="AG200" s="71">
        <f t="shared" si="93"/>
        <v>14277.428571428572</v>
      </c>
    </row>
    <row r="201" spans="1:33" x14ac:dyDescent="0.2">
      <c r="A201" s="74" t="s">
        <v>1585</v>
      </c>
      <c r="B201" s="75" t="e">
        <f t="shared" si="94"/>
        <v>#REF!</v>
      </c>
      <c r="C201" s="75" t="s">
        <v>395</v>
      </c>
      <c r="D201" s="97" t="s">
        <v>50</v>
      </c>
      <c r="E201" s="97" t="s">
        <v>234</v>
      </c>
      <c r="F201" s="76">
        <v>42930</v>
      </c>
      <c r="G201" s="133"/>
      <c r="H201" s="133"/>
      <c r="I201" s="75">
        <v>30</v>
      </c>
      <c r="J201" s="68">
        <f t="shared" si="87"/>
        <v>5357.1428571428578</v>
      </c>
      <c r="K201" s="68">
        <f t="shared" si="88"/>
        <v>0</v>
      </c>
      <c r="L201" s="68">
        <f t="shared" si="99"/>
        <v>267.85714285714289</v>
      </c>
      <c r="M201" s="68"/>
      <c r="N201" s="68">
        <f t="shared" si="102"/>
        <v>857.14285714285722</v>
      </c>
      <c r="O201" s="68"/>
      <c r="P201" s="68">
        <f t="shared" si="98"/>
        <v>5622.8571428571422</v>
      </c>
      <c r="Q201" s="68"/>
      <c r="R201" s="68">
        <v>0</v>
      </c>
      <c r="S201" s="68">
        <v>0</v>
      </c>
      <c r="T201" s="68">
        <f t="shared" si="96"/>
        <v>12105</v>
      </c>
      <c r="U201" s="69">
        <f t="shared" si="100"/>
        <v>642.85714285714289</v>
      </c>
      <c r="V201" s="69">
        <f t="shared" si="95"/>
        <v>212</v>
      </c>
      <c r="W201" s="68">
        <v>0</v>
      </c>
      <c r="X201" s="68">
        <v>0</v>
      </c>
      <c r="Y201" s="68">
        <f t="shared" si="85"/>
        <v>854.85714285714289</v>
      </c>
      <c r="Z201" s="68">
        <f t="shared" si="89"/>
        <v>11250.142857142857</v>
      </c>
      <c r="AA201" s="68">
        <v>0</v>
      </c>
      <c r="AB201" s="68">
        <f t="shared" si="90"/>
        <v>11250.142857142857</v>
      </c>
      <c r="AC201" s="69">
        <f t="shared" si="101"/>
        <v>704.46428571428578</v>
      </c>
      <c r="AD201" s="69">
        <f t="shared" si="91"/>
        <v>575</v>
      </c>
      <c r="AE201" s="70">
        <f t="shared" si="92"/>
        <v>0</v>
      </c>
      <c r="AF201" s="71">
        <f t="shared" si="97"/>
        <v>1279.4642857142858</v>
      </c>
      <c r="AG201" s="71">
        <f t="shared" si="93"/>
        <v>13384.464285714286</v>
      </c>
    </row>
    <row r="202" spans="1:33" x14ac:dyDescent="0.2">
      <c r="A202" s="74" t="s">
        <v>1586</v>
      </c>
      <c r="B202" s="75" t="e">
        <f t="shared" si="94"/>
        <v>#REF!</v>
      </c>
      <c r="C202" s="75" t="s">
        <v>1046</v>
      </c>
      <c r="D202" s="97" t="s">
        <v>50</v>
      </c>
      <c r="E202" s="97" t="s">
        <v>234</v>
      </c>
      <c r="F202" s="76">
        <v>42931</v>
      </c>
      <c r="G202" s="133"/>
      <c r="H202" s="133"/>
      <c r="I202" s="75">
        <v>17</v>
      </c>
      <c r="J202" s="68">
        <f t="shared" si="87"/>
        <v>3035.7142857142858</v>
      </c>
      <c r="K202" s="68">
        <f t="shared" si="88"/>
        <v>0</v>
      </c>
      <c r="L202" s="68">
        <f t="shared" si="99"/>
        <v>151.78571428571431</v>
      </c>
      <c r="M202" s="68"/>
      <c r="N202" s="68">
        <f t="shared" si="102"/>
        <v>485.71428571428572</v>
      </c>
      <c r="O202" s="68"/>
      <c r="P202" s="68">
        <f t="shared" si="98"/>
        <v>3186.2857142857142</v>
      </c>
      <c r="Q202" s="68"/>
      <c r="R202" s="68">
        <v>0</v>
      </c>
      <c r="S202" s="68">
        <v>0</v>
      </c>
      <c r="T202" s="68">
        <f t="shared" si="96"/>
        <v>6859.5</v>
      </c>
      <c r="U202" s="69">
        <f t="shared" si="100"/>
        <v>364.28571428571428</v>
      </c>
      <c r="V202" s="69">
        <f t="shared" si="95"/>
        <v>121</v>
      </c>
      <c r="W202" s="68">
        <v>0</v>
      </c>
      <c r="X202" s="68">
        <v>0</v>
      </c>
      <c r="Y202" s="68">
        <f t="shared" si="85"/>
        <v>485.28571428571428</v>
      </c>
      <c r="Z202" s="68">
        <f t="shared" si="89"/>
        <v>6374.2142857142853</v>
      </c>
      <c r="AA202" s="68">
        <v>0</v>
      </c>
      <c r="AB202" s="68">
        <f t="shared" si="90"/>
        <v>6374.2142857142853</v>
      </c>
      <c r="AC202" s="69">
        <f t="shared" si="101"/>
        <v>399.19642857142861</v>
      </c>
      <c r="AD202" s="69">
        <f t="shared" si="91"/>
        <v>326</v>
      </c>
      <c r="AE202" s="70">
        <f t="shared" si="92"/>
        <v>0</v>
      </c>
      <c r="AF202" s="71">
        <f t="shared" si="97"/>
        <v>725.19642857142867</v>
      </c>
      <c r="AG202" s="71">
        <f t="shared" si="93"/>
        <v>7584.6964285714284</v>
      </c>
    </row>
    <row r="203" spans="1:33" x14ac:dyDescent="0.2">
      <c r="A203" s="74" t="s">
        <v>1587</v>
      </c>
      <c r="B203" s="75" t="e">
        <f t="shared" si="94"/>
        <v>#REF!</v>
      </c>
      <c r="C203" s="75" t="s">
        <v>1460</v>
      </c>
      <c r="D203" s="97" t="s">
        <v>50</v>
      </c>
      <c r="E203" s="97" t="s">
        <v>234</v>
      </c>
      <c r="F203" s="76">
        <v>42932</v>
      </c>
      <c r="G203" s="133"/>
      <c r="H203" s="133"/>
      <c r="I203" s="75">
        <v>30</v>
      </c>
      <c r="J203" s="68">
        <f t="shared" si="87"/>
        <v>5357.1428571428578</v>
      </c>
      <c r="K203" s="68">
        <f t="shared" si="88"/>
        <v>0</v>
      </c>
      <c r="L203" s="68">
        <f t="shared" si="99"/>
        <v>267.85714285714289</v>
      </c>
      <c r="M203" s="68"/>
      <c r="N203" s="68">
        <f t="shared" si="102"/>
        <v>857.14285714285722</v>
      </c>
      <c r="O203" s="68"/>
      <c r="P203" s="68">
        <f t="shared" si="98"/>
        <v>5622.8571428571422</v>
      </c>
      <c r="Q203" s="68"/>
      <c r="R203" s="68">
        <v>0</v>
      </c>
      <c r="S203" s="68">
        <v>0</v>
      </c>
      <c r="T203" s="68">
        <f t="shared" si="96"/>
        <v>12105</v>
      </c>
      <c r="U203" s="69">
        <f t="shared" si="100"/>
        <v>642.85714285714289</v>
      </c>
      <c r="V203" s="69">
        <f t="shared" si="95"/>
        <v>212</v>
      </c>
      <c r="W203" s="68">
        <v>0</v>
      </c>
      <c r="X203" s="68">
        <v>0</v>
      </c>
      <c r="Y203" s="68">
        <f t="shared" si="85"/>
        <v>854.85714285714289</v>
      </c>
      <c r="Z203" s="68">
        <f t="shared" si="89"/>
        <v>11250.142857142857</v>
      </c>
      <c r="AA203" s="68">
        <v>0</v>
      </c>
      <c r="AB203" s="68">
        <f t="shared" si="90"/>
        <v>11250.142857142857</v>
      </c>
      <c r="AC203" s="69">
        <f t="shared" si="101"/>
        <v>704.46428571428578</v>
      </c>
      <c r="AD203" s="69">
        <f t="shared" si="91"/>
        <v>575</v>
      </c>
      <c r="AE203" s="70">
        <f t="shared" si="92"/>
        <v>0</v>
      </c>
      <c r="AF203" s="71">
        <f t="shared" si="97"/>
        <v>1279.4642857142858</v>
      </c>
      <c r="AG203" s="71">
        <f t="shared" si="93"/>
        <v>13384.464285714286</v>
      </c>
    </row>
    <row r="204" spans="1:33" x14ac:dyDescent="0.2">
      <c r="A204" s="74" t="s">
        <v>1589</v>
      </c>
      <c r="B204" s="75" t="e">
        <f t="shared" si="94"/>
        <v>#REF!</v>
      </c>
      <c r="C204" s="75" t="s">
        <v>1462</v>
      </c>
      <c r="D204" s="97" t="s">
        <v>50</v>
      </c>
      <c r="E204" s="97" t="s">
        <v>234</v>
      </c>
      <c r="F204" s="76">
        <v>42933</v>
      </c>
      <c r="G204" s="133"/>
      <c r="H204" s="133"/>
      <c r="I204" s="75">
        <v>15</v>
      </c>
      <c r="J204" s="68">
        <f t="shared" si="87"/>
        <v>2678.5714285714289</v>
      </c>
      <c r="K204" s="68">
        <f t="shared" si="88"/>
        <v>0</v>
      </c>
      <c r="L204" s="68">
        <f t="shared" si="99"/>
        <v>133.92857142857144</v>
      </c>
      <c r="M204" s="68"/>
      <c r="N204" s="68">
        <f t="shared" si="102"/>
        <v>428.57142857142861</v>
      </c>
      <c r="O204" s="68"/>
      <c r="P204" s="68">
        <f t="shared" si="98"/>
        <v>2811.4285714285711</v>
      </c>
      <c r="Q204" s="68"/>
      <c r="R204" s="68">
        <v>0</v>
      </c>
      <c r="S204" s="68">
        <v>0</v>
      </c>
      <c r="T204" s="68">
        <f t="shared" si="96"/>
        <v>6052.5</v>
      </c>
      <c r="U204" s="69">
        <f t="shared" si="100"/>
        <v>321.42857142857144</v>
      </c>
      <c r="V204" s="69">
        <f t="shared" si="95"/>
        <v>106</v>
      </c>
      <c r="W204" s="68">
        <v>0</v>
      </c>
      <c r="X204" s="68">
        <v>0</v>
      </c>
      <c r="Y204" s="68">
        <f t="shared" si="85"/>
        <v>427.42857142857144</v>
      </c>
      <c r="Z204" s="68">
        <f t="shared" si="89"/>
        <v>5625.0714285714284</v>
      </c>
      <c r="AA204" s="68">
        <v>0</v>
      </c>
      <c r="AB204" s="68">
        <f t="shared" si="90"/>
        <v>5625.0714285714284</v>
      </c>
      <c r="AC204" s="69">
        <f t="shared" si="101"/>
        <v>352.23214285714289</v>
      </c>
      <c r="AD204" s="69">
        <f t="shared" si="91"/>
        <v>288</v>
      </c>
      <c r="AE204" s="70">
        <f t="shared" si="92"/>
        <v>0</v>
      </c>
      <c r="AF204" s="71">
        <f t="shared" si="97"/>
        <v>640.23214285714289</v>
      </c>
      <c r="AG204" s="71">
        <f t="shared" si="93"/>
        <v>6692.7321428571431</v>
      </c>
    </row>
    <row r="205" spans="1:33" x14ac:dyDescent="0.2">
      <c r="A205" s="74" t="s">
        <v>1590</v>
      </c>
      <c r="B205" s="75" t="e">
        <f t="shared" si="94"/>
        <v>#REF!</v>
      </c>
      <c r="C205" s="75" t="s">
        <v>1463</v>
      </c>
      <c r="D205" s="97" t="s">
        <v>50</v>
      </c>
      <c r="E205" s="97" t="s">
        <v>234</v>
      </c>
      <c r="F205" s="76">
        <v>42934</v>
      </c>
      <c r="G205" s="133"/>
      <c r="H205" s="133"/>
      <c r="I205" s="75">
        <v>3</v>
      </c>
      <c r="J205" s="68">
        <f t="shared" si="87"/>
        <v>535.71428571428578</v>
      </c>
      <c r="K205" s="68">
        <f t="shared" si="88"/>
        <v>0</v>
      </c>
      <c r="L205" s="68">
        <f t="shared" si="99"/>
        <v>26.785714285714292</v>
      </c>
      <c r="M205" s="68"/>
      <c r="N205" s="68">
        <f t="shared" si="102"/>
        <v>85.714285714285722</v>
      </c>
      <c r="O205" s="68"/>
      <c r="P205" s="68">
        <f t="shared" si="98"/>
        <v>562.28571428571422</v>
      </c>
      <c r="Q205" s="68"/>
      <c r="R205" s="68">
        <v>0</v>
      </c>
      <c r="S205" s="68">
        <v>0</v>
      </c>
      <c r="T205" s="68">
        <f t="shared" si="96"/>
        <v>1210.5</v>
      </c>
      <c r="U205" s="69">
        <f t="shared" si="100"/>
        <v>64.285714285714292</v>
      </c>
      <c r="V205" s="69">
        <f t="shared" si="95"/>
        <v>22</v>
      </c>
      <c r="W205" s="68">
        <v>0</v>
      </c>
      <c r="X205" s="68">
        <v>0</v>
      </c>
      <c r="Y205" s="68">
        <f t="shared" si="85"/>
        <v>86.285714285714292</v>
      </c>
      <c r="Z205" s="68">
        <f t="shared" si="89"/>
        <v>1124.2142857142858</v>
      </c>
      <c r="AA205" s="68">
        <v>0</v>
      </c>
      <c r="AB205" s="68">
        <f t="shared" si="90"/>
        <v>1124.2142857142858</v>
      </c>
      <c r="AC205" s="69">
        <f t="shared" si="101"/>
        <v>70.446428571428584</v>
      </c>
      <c r="AD205" s="69">
        <f t="shared" si="91"/>
        <v>58</v>
      </c>
      <c r="AE205" s="70">
        <f t="shared" si="92"/>
        <v>0</v>
      </c>
      <c r="AF205" s="71">
        <f t="shared" si="97"/>
        <v>128.44642857142858</v>
      </c>
      <c r="AG205" s="71">
        <f t="shared" si="93"/>
        <v>1338.9464285714287</v>
      </c>
    </row>
    <row r="206" spans="1:33" x14ac:dyDescent="0.2">
      <c r="A206" s="74" t="s">
        <v>1591</v>
      </c>
      <c r="B206" s="75" t="e">
        <f t="shared" si="94"/>
        <v>#REF!</v>
      </c>
      <c r="C206" s="75" t="s">
        <v>1464</v>
      </c>
      <c r="D206" s="97" t="s">
        <v>50</v>
      </c>
      <c r="E206" s="97" t="s">
        <v>234</v>
      </c>
      <c r="F206" s="76">
        <v>42935</v>
      </c>
      <c r="G206" s="133"/>
      <c r="H206" s="133"/>
      <c r="I206" s="75">
        <v>22</v>
      </c>
      <c r="J206" s="68">
        <f t="shared" si="87"/>
        <v>3928.5714285714289</v>
      </c>
      <c r="K206" s="68">
        <f t="shared" si="88"/>
        <v>0</v>
      </c>
      <c r="L206" s="68">
        <f t="shared" si="99"/>
        <v>196.42857142857144</v>
      </c>
      <c r="M206" s="68"/>
      <c r="N206" s="68">
        <f t="shared" si="102"/>
        <v>628.57142857142856</v>
      </c>
      <c r="O206" s="68"/>
      <c r="P206" s="68">
        <f t="shared" si="98"/>
        <v>4123.4285714285716</v>
      </c>
      <c r="Q206" s="68"/>
      <c r="R206" s="68">
        <v>0</v>
      </c>
      <c r="S206" s="68">
        <v>0</v>
      </c>
      <c r="T206" s="68">
        <f t="shared" si="96"/>
        <v>8877</v>
      </c>
      <c r="U206" s="69">
        <f t="shared" si="100"/>
        <v>471.42857142857144</v>
      </c>
      <c r="V206" s="69">
        <f t="shared" si="95"/>
        <v>156</v>
      </c>
      <c r="W206" s="68">
        <v>0</v>
      </c>
      <c r="X206" s="68">
        <v>0</v>
      </c>
      <c r="Y206" s="68">
        <f t="shared" si="85"/>
        <v>627.42857142857144</v>
      </c>
      <c r="Z206" s="68">
        <f t="shared" si="89"/>
        <v>8249.5714285714294</v>
      </c>
      <c r="AA206" s="68">
        <v>0</v>
      </c>
      <c r="AB206" s="68">
        <f t="shared" si="90"/>
        <v>8249.5714285714294</v>
      </c>
      <c r="AC206" s="69">
        <f t="shared" si="101"/>
        <v>516.60714285714289</v>
      </c>
      <c r="AD206" s="69">
        <f t="shared" si="91"/>
        <v>422</v>
      </c>
      <c r="AE206" s="70">
        <f t="shared" si="92"/>
        <v>0</v>
      </c>
      <c r="AF206" s="71">
        <f t="shared" si="97"/>
        <v>938.60714285714289</v>
      </c>
      <c r="AG206" s="71">
        <f t="shared" si="93"/>
        <v>9815.6071428571431</v>
      </c>
    </row>
    <row r="207" spans="1:33" x14ac:dyDescent="0.2">
      <c r="A207" s="74" t="s">
        <v>1592</v>
      </c>
      <c r="B207" s="75" t="e">
        <f t="shared" si="94"/>
        <v>#REF!</v>
      </c>
      <c r="C207" s="75" t="s">
        <v>1465</v>
      </c>
      <c r="D207" s="97" t="s">
        <v>50</v>
      </c>
      <c r="E207" s="97" t="s">
        <v>234</v>
      </c>
      <c r="F207" s="76">
        <v>42936</v>
      </c>
      <c r="G207" s="133"/>
      <c r="H207" s="133"/>
      <c r="I207" s="75">
        <v>20</v>
      </c>
      <c r="J207" s="68">
        <f t="shared" si="87"/>
        <v>3571.4285714285716</v>
      </c>
      <c r="K207" s="68">
        <f t="shared" si="88"/>
        <v>0</v>
      </c>
      <c r="L207" s="68">
        <f t="shared" si="99"/>
        <v>178.57142857142858</v>
      </c>
      <c r="M207" s="68"/>
      <c r="N207" s="68">
        <f t="shared" si="102"/>
        <v>571.42857142857144</v>
      </c>
      <c r="O207" s="68"/>
      <c r="P207" s="68">
        <f t="shared" si="98"/>
        <v>3748.5714285714284</v>
      </c>
      <c r="Q207" s="68"/>
      <c r="R207" s="68">
        <v>0</v>
      </c>
      <c r="S207" s="68">
        <v>0</v>
      </c>
      <c r="T207" s="68">
        <f t="shared" si="96"/>
        <v>8070</v>
      </c>
      <c r="U207" s="69">
        <f t="shared" si="100"/>
        <v>428.57142857142856</v>
      </c>
      <c r="V207" s="69">
        <f t="shared" si="95"/>
        <v>142</v>
      </c>
      <c r="W207" s="68">
        <v>0</v>
      </c>
      <c r="X207" s="68">
        <v>0</v>
      </c>
      <c r="Y207" s="68">
        <f t="shared" si="85"/>
        <v>570.57142857142856</v>
      </c>
      <c r="Z207" s="68">
        <f t="shared" si="89"/>
        <v>7499.4285714285716</v>
      </c>
      <c r="AA207" s="68">
        <v>0</v>
      </c>
      <c r="AB207" s="68">
        <f t="shared" si="90"/>
        <v>7499.4285714285716</v>
      </c>
      <c r="AC207" s="69">
        <f t="shared" si="101"/>
        <v>469.64285714285717</v>
      </c>
      <c r="AD207" s="69">
        <f t="shared" si="91"/>
        <v>384</v>
      </c>
      <c r="AE207" s="70">
        <f t="shared" si="92"/>
        <v>0</v>
      </c>
      <c r="AF207" s="71">
        <f t="shared" si="97"/>
        <v>853.64285714285711</v>
      </c>
      <c r="AG207" s="71">
        <f t="shared" si="93"/>
        <v>8923.6428571428569</v>
      </c>
    </row>
    <row r="208" spans="1:33" x14ac:dyDescent="0.2">
      <c r="A208" s="74" t="s">
        <v>1593</v>
      </c>
      <c r="B208" s="75" t="e">
        <f t="shared" si="94"/>
        <v>#REF!</v>
      </c>
      <c r="C208" s="75" t="s">
        <v>1453</v>
      </c>
      <c r="D208" s="97" t="s">
        <v>50</v>
      </c>
      <c r="E208" s="97" t="s">
        <v>234</v>
      </c>
      <c r="F208" s="76">
        <v>42937</v>
      </c>
      <c r="G208" s="133"/>
      <c r="H208" s="133"/>
      <c r="I208" s="75">
        <v>28</v>
      </c>
      <c r="J208" s="68">
        <f t="shared" si="87"/>
        <v>5000</v>
      </c>
      <c r="K208" s="68">
        <f t="shared" si="88"/>
        <v>0</v>
      </c>
      <c r="L208" s="68">
        <f t="shared" si="99"/>
        <v>250</v>
      </c>
      <c r="M208" s="68"/>
      <c r="N208" s="68">
        <f t="shared" si="102"/>
        <v>800</v>
      </c>
      <c r="O208" s="68"/>
      <c r="P208" s="68">
        <f t="shared" si="98"/>
        <v>5248</v>
      </c>
      <c r="Q208" s="68"/>
      <c r="R208" s="68">
        <v>0</v>
      </c>
      <c r="S208" s="68">
        <v>0</v>
      </c>
      <c r="T208" s="68">
        <f t="shared" si="96"/>
        <v>11298</v>
      </c>
      <c r="U208" s="69">
        <f t="shared" si="100"/>
        <v>600</v>
      </c>
      <c r="V208" s="69">
        <f t="shared" si="95"/>
        <v>198</v>
      </c>
      <c r="W208" s="68">
        <v>0</v>
      </c>
      <c r="X208" s="68">
        <v>0</v>
      </c>
      <c r="Y208" s="68">
        <f t="shared" si="85"/>
        <v>798</v>
      </c>
      <c r="Z208" s="68">
        <f t="shared" si="89"/>
        <v>10500</v>
      </c>
      <c r="AA208" s="68">
        <v>0</v>
      </c>
      <c r="AB208" s="68">
        <f t="shared" si="90"/>
        <v>10500</v>
      </c>
      <c r="AC208" s="69">
        <f t="shared" si="101"/>
        <v>657.5</v>
      </c>
      <c r="AD208" s="69">
        <f t="shared" si="91"/>
        <v>537</v>
      </c>
      <c r="AE208" s="70">
        <f t="shared" si="92"/>
        <v>0</v>
      </c>
      <c r="AF208" s="71">
        <f t="shared" si="97"/>
        <v>1194.5</v>
      </c>
      <c r="AG208" s="71">
        <f t="shared" si="93"/>
        <v>12492.5</v>
      </c>
    </row>
    <row r="209" spans="1:33" x14ac:dyDescent="0.2">
      <c r="A209" s="74" t="s">
        <v>1594</v>
      </c>
      <c r="B209" s="75" t="e">
        <f t="shared" si="94"/>
        <v>#REF!</v>
      </c>
      <c r="C209" s="75" t="s">
        <v>1466</v>
      </c>
      <c r="D209" s="97" t="s">
        <v>50</v>
      </c>
      <c r="E209" s="97" t="s">
        <v>234</v>
      </c>
      <c r="F209" s="76">
        <v>42938</v>
      </c>
      <c r="G209" s="133"/>
      <c r="H209" s="133"/>
      <c r="I209" s="75">
        <v>30</v>
      </c>
      <c r="J209" s="68">
        <f t="shared" si="87"/>
        <v>5357.1428571428578</v>
      </c>
      <c r="K209" s="68">
        <f t="shared" si="88"/>
        <v>0</v>
      </c>
      <c r="L209" s="68">
        <f t="shared" si="99"/>
        <v>267.85714285714289</v>
      </c>
      <c r="M209" s="68"/>
      <c r="N209" s="68">
        <f t="shared" si="102"/>
        <v>857.14285714285722</v>
      </c>
      <c r="O209" s="68"/>
      <c r="P209" s="68">
        <f t="shared" si="98"/>
        <v>5622.8571428571422</v>
      </c>
      <c r="Q209" s="68"/>
      <c r="R209" s="68">
        <v>0</v>
      </c>
      <c r="S209" s="68">
        <v>0</v>
      </c>
      <c r="T209" s="68">
        <f t="shared" si="96"/>
        <v>12105</v>
      </c>
      <c r="U209" s="69">
        <f t="shared" si="100"/>
        <v>642.85714285714289</v>
      </c>
      <c r="V209" s="69">
        <f t="shared" si="95"/>
        <v>212</v>
      </c>
      <c r="W209" s="68">
        <v>0</v>
      </c>
      <c r="X209" s="68">
        <v>0</v>
      </c>
      <c r="Y209" s="68">
        <f t="shared" si="85"/>
        <v>854.85714285714289</v>
      </c>
      <c r="Z209" s="68">
        <f t="shared" si="89"/>
        <v>11250.142857142857</v>
      </c>
      <c r="AA209" s="68">
        <v>0</v>
      </c>
      <c r="AB209" s="68">
        <f t="shared" si="90"/>
        <v>11250.142857142857</v>
      </c>
      <c r="AC209" s="69">
        <f t="shared" si="101"/>
        <v>704.46428571428578</v>
      </c>
      <c r="AD209" s="69">
        <f t="shared" si="91"/>
        <v>575</v>
      </c>
      <c r="AE209" s="70">
        <f t="shared" si="92"/>
        <v>0</v>
      </c>
      <c r="AF209" s="71">
        <f t="shared" si="97"/>
        <v>1279.4642857142858</v>
      </c>
      <c r="AG209" s="71">
        <f t="shared" si="93"/>
        <v>13384.464285714286</v>
      </c>
    </row>
    <row r="210" spans="1:33" x14ac:dyDescent="0.2">
      <c r="A210" s="74" t="s">
        <v>1595</v>
      </c>
      <c r="B210" s="75" t="e">
        <f t="shared" si="94"/>
        <v>#REF!</v>
      </c>
      <c r="C210" s="75" t="s">
        <v>391</v>
      </c>
      <c r="D210" s="97" t="s">
        <v>50</v>
      </c>
      <c r="E210" s="97" t="s">
        <v>234</v>
      </c>
      <c r="F210" s="76">
        <v>42939</v>
      </c>
      <c r="G210" s="133"/>
      <c r="H210" s="133"/>
      <c r="I210" s="75">
        <v>4</v>
      </c>
      <c r="J210" s="68">
        <f t="shared" si="87"/>
        <v>714.28571428571433</v>
      </c>
      <c r="K210" s="68">
        <f t="shared" si="88"/>
        <v>0</v>
      </c>
      <c r="L210" s="68">
        <f t="shared" si="99"/>
        <v>35.714285714285715</v>
      </c>
      <c r="M210" s="68"/>
      <c r="N210" s="68">
        <f t="shared" si="102"/>
        <v>114.28571428571429</v>
      </c>
      <c r="O210" s="68"/>
      <c r="P210" s="68">
        <f t="shared" si="98"/>
        <v>749.71428571428567</v>
      </c>
      <c r="Q210" s="68"/>
      <c r="R210" s="68">
        <v>0</v>
      </c>
      <c r="S210" s="68">
        <v>0</v>
      </c>
      <c r="T210" s="68">
        <f t="shared" si="96"/>
        <v>1614</v>
      </c>
      <c r="U210" s="69">
        <f t="shared" si="100"/>
        <v>85.714285714285722</v>
      </c>
      <c r="V210" s="69">
        <f t="shared" si="95"/>
        <v>29</v>
      </c>
      <c r="W210" s="68">
        <v>0</v>
      </c>
      <c r="X210" s="68">
        <v>0</v>
      </c>
      <c r="Y210" s="68">
        <f t="shared" si="85"/>
        <v>114.71428571428572</v>
      </c>
      <c r="Z210" s="68">
        <f t="shared" si="89"/>
        <v>1499.2857142857142</v>
      </c>
      <c r="AA210" s="68">
        <v>0</v>
      </c>
      <c r="AB210" s="68">
        <f t="shared" si="90"/>
        <v>1499.2857142857142</v>
      </c>
      <c r="AC210" s="69">
        <f t="shared" si="101"/>
        <v>93.928571428571445</v>
      </c>
      <c r="AD210" s="69">
        <f t="shared" si="91"/>
        <v>77</v>
      </c>
      <c r="AE210" s="70">
        <f t="shared" si="92"/>
        <v>0</v>
      </c>
      <c r="AF210" s="71">
        <f t="shared" si="97"/>
        <v>170.92857142857144</v>
      </c>
      <c r="AG210" s="71">
        <f t="shared" si="93"/>
        <v>1784.9285714285716</v>
      </c>
    </row>
    <row r="211" spans="1:33" x14ac:dyDescent="0.2">
      <c r="A211" s="74" t="s">
        <v>1597</v>
      </c>
      <c r="B211" s="75" t="e">
        <f>#REF!+1</f>
        <v>#REF!</v>
      </c>
      <c r="C211" s="75" t="s">
        <v>1468</v>
      </c>
      <c r="D211" s="97" t="s">
        <v>50</v>
      </c>
      <c r="E211" s="97" t="s">
        <v>234</v>
      </c>
      <c r="F211" s="76">
        <v>42940</v>
      </c>
      <c r="G211" s="133"/>
      <c r="H211" s="133"/>
      <c r="I211" s="75">
        <v>8</v>
      </c>
      <c r="J211" s="68">
        <f t="shared" si="87"/>
        <v>1428.5714285714287</v>
      </c>
      <c r="K211" s="68">
        <f t="shared" si="88"/>
        <v>0</v>
      </c>
      <c r="L211" s="68">
        <f t="shared" si="99"/>
        <v>71.428571428571431</v>
      </c>
      <c r="M211" s="68"/>
      <c r="N211" s="68">
        <f t="shared" si="102"/>
        <v>228.57142857142858</v>
      </c>
      <c r="O211" s="68"/>
      <c r="P211" s="68">
        <f t="shared" si="98"/>
        <v>1499.4285714285713</v>
      </c>
      <c r="Q211" s="68"/>
      <c r="R211" s="68">
        <v>0</v>
      </c>
      <c r="S211" s="68">
        <v>0</v>
      </c>
      <c r="T211" s="68">
        <f t="shared" si="96"/>
        <v>3228</v>
      </c>
      <c r="U211" s="69">
        <f t="shared" si="100"/>
        <v>171.42857142857144</v>
      </c>
      <c r="V211" s="69">
        <f t="shared" si="95"/>
        <v>57</v>
      </c>
      <c r="W211" s="68">
        <v>0</v>
      </c>
      <c r="X211" s="68">
        <v>0</v>
      </c>
      <c r="Y211" s="68">
        <f t="shared" si="85"/>
        <v>228.42857142857144</v>
      </c>
      <c r="Z211" s="68">
        <f t="shared" si="89"/>
        <v>2999.5714285714284</v>
      </c>
      <c r="AA211" s="68">
        <v>0</v>
      </c>
      <c r="AB211" s="68">
        <f t="shared" si="90"/>
        <v>2999.5714285714284</v>
      </c>
      <c r="AC211" s="69">
        <f t="shared" si="101"/>
        <v>187.85714285714289</v>
      </c>
      <c r="AD211" s="69">
        <f t="shared" si="91"/>
        <v>154</v>
      </c>
      <c r="AE211" s="70">
        <f t="shared" si="92"/>
        <v>0</v>
      </c>
      <c r="AF211" s="71">
        <f t="shared" si="97"/>
        <v>341.85714285714289</v>
      </c>
      <c r="AG211" s="71">
        <f t="shared" si="93"/>
        <v>3569.8571428571431</v>
      </c>
    </row>
    <row r="212" spans="1:33" x14ac:dyDescent="0.2">
      <c r="A212" s="74" t="s">
        <v>1598</v>
      </c>
      <c r="B212" s="75" t="e">
        <f t="shared" si="94"/>
        <v>#REF!</v>
      </c>
      <c r="C212" s="75" t="s">
        <v>1469</v>
      </c>
      <c r="D212" s="97" t="s">
        <v>50</v>
      </c>
      <c r="E212" s="97" t="s">
        <v>234</v>
      </c>
      <c r="F212" s="76">
        <v>42941</v>
      </c>
      <c r="G212" s="133"/>
      <c r="H212" s="133"/>
      <c r="I212" s="75">
        <v>29</v>
      </c>
      <c r="J212" s="68">
        <f t="shared" si="87"/>
        <v>5178.5714285714294</v>
      </c>
      <c r="K212" s="68">
        <f t="shared" si="88"/>
        <v>0</v>
      </c>
      <c r="L212" s="68">
        <f t="shared" si="99"/>
        <v>258.9285714285715</v>
      </c>
      <c r="M212" s="68"/>
      <c r="N212" s="68">
        <f t="shared" si="102"/>
        <v>828.57142857142867</v>
      </c>
      <c r="O212" s="68"/>
      <c r="P212" s="68">
        <f t="shared" si="98"/>
        <v>5435.4285714285706</v>
      </c>
      <c r="Q212" s="68"/>
      <c r="R212" s="68">
        <v>0</v>
      </c>
      <c r="S212" s="68">
        <v>0</v>
      </c>
      <c r="T212" s="68">
        <f t="shared" si="96"/>
        <v>11701.5</v>
      </c>
      <c r="U212" s="69">
        <f t="shared" si="100"/>
        <v>621.42857142857144</v>
      </c>
      <c r="V212" s="69">
        <f t="shared" si="95"/>
        <v>205</v>
      </c>
      <c r="W212" s="68">
        <v>0</v>
      </c>
      <c r="X212" s="68">
        <v>0</v>
      </c>
      <c r="Y212" s="68">
        <f t="shared" si="85"/>
        <v>826.42857142857144</v>
      </c>
      <c r="Z212" s="68">
        <f t="shared" si="89"/>
        <v>10875.071428571429</v>
      </c>
      <c r="AA212" s="68">
        <v>0</v>
      </c>
      <c r="AB212" s="68">
        <f t="shared" si="90"/>
        <v>10875.071428571429</v>
      </c>
      <c r="AC212" s="69">
        <f t="shared" si="101"/>
        <v>680.982142857143</v>
      </c>
      <c r="AD212" s="69">
        <f t="shared" si="91"/>
        <v>556</v>
      </c>
      <c r="AE212" s="70">
        <f t="shared" si="92"/>
        <v>0</v>
      </c>
      <c r="AF212" s="71">
        <f t="shared" si="97"/>
        <v>1236.9821428571431</v>
      </c>
      <c r="AG212" s="71">
        <f t="shared" si="93"/>
        <v>12938.482142857143</v>
      </c>
    </row>
    <row r="213" spans="1:33" x14ac:dyDescent="0.2">
      <c r="A213" s="74" t="s">
        <v>1600</v>
      </c>
      <c r="B213" s="75" t="e">
        <f>#REF!+1</f>
        <v>#REF!</v>
      </c>
      <c r="C213" s="75" t="s">
        <v>1471</v>
      </c>
      <c r="D213" s="97" t="s">
        <v>50</v>
      </c>
      <c r="E213" s="97" t="s">
        <v>234</v>
      </c>
      <c r="F213" s="76">
        <v>42942</v>
      </c>
      <c r="G213" s="133"/>
      <c r="H213" s="133"/>
      <c r="I213" s="75">
        <v>19</v>
      </c>
      <c r="J213" s="68">
        <f t="shared" si="87"/>
        <v>3392.8571428571431</v>
      </c>
      <c r="K213" s="68">
        <f t="shared" si="88"/>
        <v>0</v>
      </c>
      <c r="L213" s="68">
        <f t="shared" si="99"/>
        <v>169.64285714285717</v>
      </c>
      <c r="M213" s="68"/>
      <c r="N213" s="68">
        <f t="shared" si="102"/>
        <v>542.85714285714289</v>
      </c>
      <c r="O213" s="68"/>
      <c r="P213" s="68">
        <f t="shared" si="98"/>
        <v>3561.1428571428569</v>
      </c>
      <c r="Q213" s="68"/>
      <c r="R213" s="68">
        <v>0</v>
      </c>
      <c r="S213" s="68">
        <v>0</v>
      </c>
      <c r="T213" s="68">
        <f t="shared" si="96"/>
        <v>7666.5</v>
      </c>
      <c r="U213" s="69">
        <f t="shared" si="100"/>
        <v>407.14285714285717</v>
      </c>
      <c r="V213" s="69">
        <f t="shared" si="95"/>
        <v>135</v>
      </c>
      <c r="W213" s="68">
        <v>0</v>
      </c>
      <c r="X213" s="68">
        <v>0</v>
      </c>
      <c r="Y213" s="68">
        <f t="shared" si="85"/>
        <v>542.14285714285711</v>
      </c>
      <c r="Z213" s="68">
        <f t="shared" si="89"/>
        <v>7124.3571428571431</v>
      </c>
      <c r="AA213" s="68">
        <v>0</v>
      </c>
      <c r="AB213" s="68">
        <f t="shared" si="90"/>
        <v>7124.3571428571431</v>
      </c>
      <c r="AC213" s="69">
        <f t="shared" si="101"/>
        <v>446.16071428571433</v>
      </c>
      <c r="AD213" s="69">
        <f t="shared" si="91"/>
        <v>365</v>
      </c>
      <c r="AE213" s="70">
        <f t="shared" si="92"/>
        <v>0</v>
      </c>
      <c r="AF213" s="71">
        <f t="shared" si="97"/>
        <v>811.16071428571433</v>
      </c>
      <c r="AG213" s="71">
        <f t="shared" si="93"/>
        <v>8477.6607142857138</v>
      </c>
    </row>
    <row r="214" spans="1:33" x14ac:dyDescent="0.2">
      <c r="A214" s="74" t="s">
        <v>1601</v>
      </c>
      <c r="B214" s="75" t="e">
        <f t="shared" si="94"/>
        <v>#REF!</v>
      </c>
      <c r="C214" s="75" t="s">
        <v>1472</v>
      </c>
      <c r="D214" s="97" t="s">
        <v>50</v>
      </c>
      <c r="E214" s="97" t="s">
        <v>234</v>
      </c>
      <c r="F214" s="76">
        <v>42943</v>
      </c>
      <c r="G214" s="133"/>
      <c r="H214" s="133"/>
      <c r="I214" s="75">
        <v>29</v>
      </c>
      <c r="J214" s="68">
        <f t="shared" si="87"/>
        <v>5178.5714285714294</v>
      </c>
      <c r="K214" s="68">
        <f t="shared" si="88"/>
        <v>0</v>
      </c>
      <c r="L214" s="68">
        <f t="shared" si="99"/>
        <v>258.9285714285715</v>
      </c>
      <c r="M214" s="68"/>
      <c r="N214" s="68">
        <f t="shared" si="102"/>
        <v>828.57142857142867</v>
      </c>
      <c r="O214" s="68"/>
      <c r="P214" s="68">
        <f t="shared" si="98"/>
        <v>5435.4285714285706</v>
      </c>
      <c r="Q214" s="68"/>
      <c r="R214" s="68">
        <v>0</v>
      </c>
      <c r="S214" s="68">
        <v>0</v>
      </c>
      <c r="T214" s="68">
        <f t="shared" si="96"/>
        <v>11701.5</v>
      </c>
      <c r="U214" s="69">
        <f t="shared" si="100"/>
        <v>621.42857142857144</v>
      </c>
      <c r="V214" s="69">
        <f t="shared" si="95"/>
        <v>205</v>
      </c>
      <c r="W214" s="68">
        <v>0</v>
      </c>
      <c r="X214" s="68">
        <v>0</v>
      </c>
      <c r="Y214" s="68">
        <f t="shared" si="85"/>
        <v>826.42857142857144</v>
      </c>
      <c r="Z214" s="68">
        <f t="shared" si="89"/>
        <v>10875.071428571429</v>
      </c>
      <c r="AA214" s="68">
        <v>0</v>
      </c>
      <c r="AB214" s="68">
        <f t="shared" si="90"/>
        <v>10875.071428571429</v>
      </c>
      <c r="AC214" s="69">
        <f t="shared" si="101"/>
        <v>680.982142857143</v>
      </c>
      <c r="AD214" s="69">
        <f t="shared" si="91"/>
        <v>556</v>
      </c>
      <c r="AE214" s="70">
        <f t="shared" si="92"/>
        <v>0</v>
      </c>
      <c r="AF214" s="71">
        <f t="shared" si="97"/>
        <v>1236.9821428571431</v>
      </c>
      <c r="AG214" s="71">
        <f t="shared" si="93"/>
        <v>12938.482142857143</v>
      </c>
    </row>
    <row r="215" spans="1:33" x14ac:dyDescent="0.2">
      <c r="A215" s="74" t="s">
        <v>1602</v>
      </c>
      <c r="B215" s="75" t="e">
        <f t="shared" si="94"/>
        <v>#REF!</v>
      </c>
      <c r="C215" s="75" t="s">
        <v>1473</v>
      </c>
      <c r="D215" s="97" t="s">
        <v>50</v>
      </c>
      <c r="E215" s="97" t="s">
        <v>234</v>
      </c>
      <c r="F215" s="76">
        <v>42944</v>
      </c>
      <c r="G215" s="133"/>
      <c r="H215" s="133"/>
      <c r="I215" s="75">
        <v>26</v>
      </c>
      <c r="J215" s="68">
        <f t="shared" si="87"/>
        <v>4642.8571428571431</v>
      </c>
      <c r="K215" s="68">
        <f t="shared" si="88"/>
        <v>0</v>
      </c>
      <c r="L215" s="68">
        <f t="shared" si="99"/>
        <v>232.14285714285717</v>
      </c>
      <c r="M215" s="68"/>
      <c r="N215" s="68">
        <f t="shared" si="102"/>
        <v>742.85714285714289</v>
      </c>
      <c r="O215" s="68"/>
      <c r="P215" s="68">
        <f t="shared" si="98"/>
        <v>4873.1428571428569</v>
      </c>
      <c r="Q215" s="68"/>
      <c r="R215" s="68">
        <v>0</v>
      </c>
      <c r="S215" s="68">
        <v>0</v>
      </c>
      <c r="T215" s="68">
        <f t="shared" si="96"/>
        <v>10491</v>
      </c>
      <c r="U215" s="69">
        <f t="shared" si="100"/>
        <v>557.14285714285711</v>
      </c>
      <c r="V215" s="69">
        <f t="shared" si="95"/>
        <v>184</v>
      </c>
      <c r="W215" s="68">
        <v>0</v>
      </c>
      <c r="X215" s="68">
        <v>0</v>
      </c>
      <c r="Y215" s="68">
        <f t="shared" si="85"/>
        <v>741.14285714285711</v>
      </c>
      <c r="Z215" s="68">
        <f t="shared" si="89"/>
        <v>9749.8571428571431</v>
      </c>
      <c r="AA215" s="68">
        <v>0</v>
      </c>
      <c r="AB215" s="68">
        <f t="shared" si="90"/>
        <v>9749.8571428571431</v>
      </c>
      <c r="AC215" s="69">
        <f t="shared" si="101"/>
        <v>610.53571428571433</v>
      </c>
      <c r="AD215" s="69">
        <f t="shared" si="91"/>
        <v>499</v>
      </c>
      <c r="AE215" s="70">
        <f t="shared" si="92"/>
        <v>0</v>
      </c>
      <c r="AF215" s="71">
        <f t="shared" si="97"/>
        <v>1109.5357142857142</v>
      </c>
      <c r="AG215" s="71">
        <f t="shared" si="93"/>
        <v>11600.535714285714</v>
      </c>
    </row>
    <row r="216" spans="1:33" x14ac:dyDescent="0.2">
      <c r="A216" s="74" t="s">
        <v>1604</v>
      </c>
      <c r="B216" s="75" t="e">
        <f>#REF!+1</f>
        <v>#REF!</v>
      </c>
      <c r="C216" s="75" t="s">
        <v>1475</v>
      </c>
      <c r="D216" s="97" t="s">
        <v>50</v>
      </c>
      <c r="E216" s="97" t="s">
        <v>234</v>
      </c>
      <c r="F216" s="76">
        <v>42945</v>
      </c>
      <c r="G216" s="133"/>
      <c r="H216" s="133"/>
      <c r="I216" s="75">
        <v>28</v>
      </c>
      <c r="J216" s="68">
        <f t="shared" si="87"/>
        <v>5000</v>
      </c>
      <c r="K216" s="68">
        <f t="shared" si="88"/>
        <v>0</v>
      </c>
      <c r="L216" s="68">
        <f t="shared" si="99"/>
        <v>250</v>
      </c>
      <c r="M216" s="68"/>
      <c r="N216" s="68">
        <f t="shared" si="102"/>
        <v>800</v>
      </c>
      <c r="O216" s="68"/>
      <c r="P216" s="68">
        <f t="shared" si="98"/>
        <v>5248</v>
      </c>
      <c r="Q216" s="68"/>
      <c r="R216" s="68">
        <v>0</v>
      </c>
      <c r="S216" s="68">
        <v>0</v>
      </c>
      <c r="T216" s="68">
        <f t="shared" si="96"/>
        <v>11298</v>
      </c>
      <c r="U216" s="69">
        <f t="shared" si="100"/>
        <v>600</v>
      </c>
      <c r="V216" s="69">
        <f t="shared" si="95"/>
        <v>198</v>
      </c>
      <c r="W216" s="68">
        <v>0</v>
      </c>
      <c r="X216" s="68">
        <v>0</v>
      </c>
      <c r="Y216" s="68">
        <f t="shared" si="85"/>
        <v>798</v>
      </c>
      <c r="Z216" s="68">
        <f t="shared" si="89"/>
        <v>10500</v>
      </c>
      <c r="AA216" s="68">
        <v>0</v>
      </c>
      <c r="AB216" s="68">
        <f t="shared" si="90"/>
        <v>10500</v>
      </c>
      <c r="AC216" s="69">
        <f t="shared" si="101"/>
        <v>657.5</v>
      </c>
      <c r="AD216" s="69">
        <f t="shared" si="91"/>
        <v>537</v>
      </c>
      <c r="AE216" s="70">
        <f t="shared" si="92"/>
        <v>0</v>
      </c>
      <c r="AF216" s="71">
        <f t="shared" si="97"/>
        <v>1194.5</v>
      </c>
      <c r="AG216" s="71">
        <f t="shared" si="93"/>
        <v>12492.5</v>
      </c>
    </row>
    <row r="217" spans="1:33" x14ac:dyDescent="0.2">
      <c r="A217" s="74" t="s">
        <v>1605</v>
      </c>
      <c r="B217" s="75" t="e">
        <f t="shared" si="94"/>
        <v>#REF!</v>
      </c>
      <c r="C217" s="75" t="s">
        <v>492</v>
      </c>
      <c r="D217" s="97" t="s">
        <v>50</v>
      </c>
      <c r="E217" s="97" t="s">
        <v>234</v>
      </c>
      <c r="F217" s="76">
        <v>42946</v>
      </c>
      <c r="G217" s="133"/>
      <c r="H217" s="133"/>
      <c r="I217" s="75">
        <v>28</v>
      </c>
      <c r="J217" s="68">
        <f t="shared" si="87"/>
        <v>5000</v>
      </c>
      <c r="K217" s="68">
        <f t="shared" si="88"/>
        <v>0</v>
      </c>
      <c r="L217" s="68">
        <f t="shared" si="99"/>
        <v>250</v>
      </c>
      <c r="M217" s="68"/>
      <c r="N217" s="68">
        <f t="shared" si="102"/>
        <v>800</v>
      </c>
      <c r="O217" s="68"/>
      <c r="P217" s="68">
        <f t="shared" si="98"/>
        <v>5248</v>
      </c>
      <c r="Q217" s="68"/>
      <c r="R217" s="68">
        <v>0</v>
      </c>
      <c r="S217" s="68">
        <v>0</v>
      </c>
      <c r="T217" s="68">
        <f t="shared" si="96"/>
        <v>11298</v>
      </c>
      <c r="U217" s="69">
        <f t="shared" si="100"/>
        <v>600</v>
      </c>
      <c r="V217" s="69">
        <f t="shared" si="95"/>
        <v>198</v>
      </c>
      <c r="W217" s="68">
        <v>0</v>
      </c>
      <c r="X217" s="68">
        <v>0</v>
      </c>
      <c r="Y217" s="68">
        <f t="shared" si="85"/>
        <v>798</v>
      </c>
      <c r="Z217" s="68">
        <f t="shared" si="89"/>
        <v>10500</v>
      </c>
      <c r="AA217" s="68">
        <v>0</v>
      </c>
      <c r="AB217" s="68">
        <f t="shared" si="90"/>
        <v>10500</v>
      </c>
      <c r="AC217" s="69">
        <f t="shared" si="101"/>
        <v>657.5</v>
      </c>
      <c r="AD217" s="69">
        <f t="shared" si="91"/>
        <v>537</v>
      </c>
      <c r="AE217" s="70">
        <f t="shared" si="92"/>
        <v>0</v>
      </c>
      <c r="AF217" s="71">
        <f t="shared" si="97"/>
        <v>1194.5</v>
      </c>
      <c r="AG217" s="71">
        <f t="shared" si="93"/>
        <v>12492.5</v>
      </c>
    </row>
    <row r="218" spans="1:33" x14ac:dyDescent="0.2">
      <c r="A218" s="74" t="s">
        <v>1606</v>
      </c>
      <c r="B218" s="75" t="e">
        <f t="shared" si="94"/>
        <v>#REF!</v>
      </c>
      <c r="C218" s="75" t="s">
        <v>352</v>
      </c>
      <c r="D218" s="97" t="s">
        <v>50</v>
      </c>
      <c r="E218" s="97" t="s">
        <v>234</v>
      </c>
      <c r="F218" s="76">
        <v>42947</v>
      </c>
      <c r="G218" s="133"/>
      <c r="H218" s="133"/>
      <c r="I218" s="75">
        <v>12</v>
      </c>
      <c r="J218" s="68">
        <f t="shared" si="87"/>
        <v>2142.8571428571431</v>
      </c>
      <c r="K218" s="68">
        <f t="shared" si="88"/>
        <v>0</v>
      </c>
      <c r="L218" s="68">
        <f t="shared" si="99"/>
        <v>107.14285714285717</v>
      </c>
      <c r="M218" s="68"/>
      <c r="N218" s="68">
        <f t="shared" si="102"/>
        <v>342.85714285714289</v>
      </c>
      <c r="O218" s="68"/>
      <c r="P218" s="68">
        <f t="shared" si="98"/>
        <v>2249.1428571428569</v>
      </c>
      <c r="Q218" s="68"/>
      <c r="R218" s="68">
        <v>0</v>
      </c>
      <c r="S218" s="68">
        <v>0</v>
      </c>
      <c r="T218" s="68">
        <f t="shared" si="96"/>
        <v>4842</v>
      </c>
      <c r="U218" s="69">
        <f t="shared" si="100"/>
        <v>257.14285714285717</v>
      </c>
      <c r="V218" s="69">
        <f t="shared" si="95"/>
        <v>85</v>
      </c>
      <c r="W218" s="68">
        <v>0</v>
      </c>
      <c r="X218" s="68">
        <v>0</v>
      </c>
      <c r="Y218" s="68">
        <f t="shared" si="85"/>
        <v>342.14285714285717</v>
      </c>
      <c r="Z218" s="68">
        <f t="shared" si="89"/>
        <v>4499.8571428571431</v>
      </c>
      <c r="AA218" s="68">
        <v>0</v>
      </c>
      <c r="AB218" s="68">
        <f t="shared" si="90"/>
        <v>4499.8571428571431</v>
      </c>
      <c r="AC218" s="69">
        <f t="shared" si="101"/>
        <v>281.78571428571433</v>
      </c>
      <c r="AD218" s="69">
        <f t="shared" si="91"/>
        <v>230</v>
      </c>
      <c r="AE218" s="70">
        <f t="shared" si="92"/>
        <v>0</v>
      </c>
      <c r="AF218" s="71">
        <f t="shared" si="97"/>
        <v>511.78571428571433</v>
      </c>
      <c r="AG218" s="71">
        <f t="shared" si="93"/>
        <v>5353.7857142857147</v>
      </c>
    </row>
    <row r="219" spans="1:33" x14ac:dyDescent="0.2">
      <c r="A219" s="74" t="s">
        <v>1607</v>
      </c>
      <c r="B219" s="75" t="e">
        <f t="shared" si="94"/>
        <v>#REF!</v>
      </c>
      <c r="C219" s="75" t="s">
        <v>676</v>
      </c>
      <c r="D219" s="97" t="s">
        <v>50</v>
      </c>
      <c r="E219" s="97" t="s">
        <v>234</v>
      </c>
      <c r="F219" s="76">
        <v>42948</v>
      </c>
      <c r="G219" s="133"/>
      <c r="H219" s="133"/>
      <c r="I219" s="75">
        <v>15</v>
      </c>
      <c r="J219" s="68">
        <f t="shared" si="87"/>
        <v>2678.5714285714289</v>
      </c>
      <c r="K219" s="68">
        <f t="shared" si="88"/>
        <v>0</v>
      </c>
      <c r="L219" s="68">
        <f t="shared" si="99"/>
        <v>133.92857142857144</v>
      </c>
      <c r="M219" s="68"/>
      <c r="N219" s="68">
        <f t="shared" si="102"/>
        <v>428.57142857142861</v>
      </c>
      <c r="O219" s="68"/>
      <c r="P219" s="68">
        <f t="shared" si="98"/>
        <v>2811.4285714285711</v>
      </c>
      <c r="Q219" s="68"/>
      <c r="R219" s="68">
        <v>0</v>
      </c>
      <c r="S219" s="68">
        <v>0</v>
      </c>
      <c r="T219" s="68">
        <f t="shared" si="96"/>
        <v>6052.5</v>
      </c>
      <c r="U219" s="69">
        <f t="shared" si="100"/>
        <v>321.42857142857144</v>
      </c>
      <c r="V219" s="69">
        <f t="shared" si="95"/>
        <v>106</v>
      </c>
      <c r="W219" s="68">
        <v>0</v>
      </c>
      <c r="X219" s="68">
        <v>0</v>
      </c>
      <c r="Y219" s="68">
        <f t="shared" si="85"/>
        <v>427.42857142857144</v>
      </c>
      <c r="Z219" s="68">
        <f t="shared" si="89"/>
        <v>5625.0714285714284</v>
      </c>
      <c r="AA219" s="68">
        <v>0</v>
      </c>
      <c r="AB219" s="68">
        <f t="shared" si="90"/>
        <v>5625.0714285714284</v>
      </c>
      <c r="AC219" s="69">
        <f t="shared" si="101"/>
        <v>352.23214285714289</v>
      </c>
      <c r="AD219" s="69">
        <f t="shared" si="91"/>
        <v>288</v>
      </c>
      <c r="AE219" s="70">
        <f t="shared" si="92"/>
        <v>0</v>
      </c>
      <c r="AF219" s="71">
        <f t="shared" si="97"/>
        <v>640.23214285714289</v>
      </c>
      <c r="AG219" s="71">
        <f t="shared" si="93"/>
        <v>6692.7321428571431</v>
      </c>
    </row>
    <row r="220" spans="1:33" x14ac:dyDescent="0.2">
      <c r="A220" s="74" t="s">
        <v>1608</v>
      </c>
      <c r="B220" s="75" t="e">
        <f>#REF!+1</f>
        <v>#REF!</v>
      </c>
      <c r="C220" s="75" t="s">
        <v>1476</v>
      </c>
      <c r="D220" s="97" t="s">
        <v>50</v>
      </c>
      <c r="E220" s="97" t="s">
        <v>234</v>
      </c>
      <c r="F220" s="76">
        <v>42949</v>
      </c>
      <c r="G220" s="133"/>
      <c r="H220" s="133"/>
      <c r="I220" s="75">
        <v>14</v>
      </c>
      <c r="J220" s="68">
        <f t="shared" si="87"/>
        <v>2500</v>
      </c>
      <c r="K220" s="68">
        <f t="shared" si="88"/>
        <v>0</v>
      </c>
      <c r="L220" s="68">
        <f t="shared" si="99"/>
        <v>125</v>
      </c>
      <c r="M220" s="68"/>
      <c r="N220" s="68">
        <f t="shared" si="102"/>
        <v>400</v>
      </c>
      <c r="O220" s="68"/>
      <c r="P220" s="68">
        <f t="shared" si="98"/>
        <v>2624</v>
      </c>
      <c r="Q220" s="68"/>
      <c r="R220" s="68">
        <v>0</v>
      </c>
      <c r="S220" s="68">
        <v>0</v>
      </c>
      <c r="T220" s="68">
        <f t="shared" si="96"/>
        <v>5649</v>
      </c>
      <c r="U220" s="69">
        <f t="shared" si="100"/>
        <v>300</v>
      </c>
      <c r="V220" s="69">
        <f t="shared" si="95"/>
        <v>99</v>
      </c>
      <c r="W220" s="68">
        <v>0</v>
      </c>
      <c r="X220" s="68">
        <v>0</v>
      </c>
      <c r="Y220" s="68">
        <f t="shared" si="85"/>
        <v>399</v>
      </c>
      <c r="Z220" s="68">
        <f t="shared" si="89"/>
        <v>5250</v>
      </c>
      <c r="AA220" s="68">
        <v>0</v>
      </c>
      <c r="AB220" s="68">
        <f t="shared" si="90"/>
        <v>5250</v>
      </c>
      <c r="AC220" s="69">
        <f t="shared" si="101"/>
        <v>328.75</v>
      </c>
      <c r="AD220" s="69">
        <f t="shared" si="91"/>
        <v>269</v>
      </c>
      <c r="AE220" s="70">
        <f t="shared" si="92"/>
        <v>0</v>
      </c>
      <c r="AF220" s="71">
        <f t="shared" si="97"/>
        <v>597.75</v>
      </c>
      <c r="AG220" s="71">
        <f t="shared" si="93"/>
        <v>6246.75</v>
      </c>
    </row>
    <row r="221" spans="1:33" x14ac:dyDescent="0.2">
      <c r="A221" s="74" t="s">
        <v>1609</v>
      </c>
      <c r="B221" s="75" t="e">
        <f t="shared" si="94"/>
        <v>#REF!</v>
      </c>
      <c r="C221" s="75" t="s">
        <v>1477</v>
      </c>
      <c r="D221" s="97" t="s">
        <v>50</v>
      </c>
      <c r="E221" s="97" t="s">
        <v>234</v>
      </c>
      <c r="F221" s="76">
        <v>42950</v>
      </c>
      <c r="G221" s="133"/>
      <c r="H221" s="133"/>
      <c r="I221" s="75">
        <v>16</v>
      </c>
      <c r="J221" s="68">
        <f t="shared" si="87"/>
        <v>2857.1428571428573</v>
      </c>
      <c r="K221" s="68">
        <f t="shared" si="88"/>
        <v>0</v>
      </c>
      <c r="L221" s="68">
        <f t="shared" si="99"/>
        <v>142.85714285714286</v>
      </c>
      <c r="M221" s="68"/>
      <c r="N221" s="68">
        <f t="shared" si="102"/>
        <v>457.14285714285717</v>
      </c>
      <c r="O221" s="68"/>
      <c r="P221" s="68">
        <f t="shared" si="98"/>
        <v>2998.8571428571427</v>
      </c>
      <c r="Q221" s="68"/>
      <c r="R221" s="68">
        <v>0</v>
      </c>
      <c r="S221" s="68">
        <v>0</v>
      </c>
      <c r="T221" s="68">
        <f t="shared" si="96"/>
        <v>6456</v>
      </c>
      <c r="U221" s="69">
        <f t="shared" si="100"/>
        <v>342.85714285714289</v>
      </c>
      <c r="V221" s="69">
        <f t="shared" si="95"/>
        <v>113</v>
      </c>
      <c r="W221" s="68">
        <v>0</v>
      </c>
      <c r="X221" s="68">
        <v>0</v>
      </c>
      <c r="Y221" s="68">
        <f t="shared" ref="Y221:Y249" si="103">SUM(U221:X221)</f>
        <v>455.85714285714289</v>
      </c>
      <c r="Z221" s="68">
        <f t="shared" si="89"/>
        <v>6000.1428571428569</v>
      </c>
      <c r="AA221" s="68">
        <v>0</v>
      </c>
      <c r="AB221" s="68">
        <f t="shared" si="90"/>
        <v>6000.1428571428569</v>
      </c>
      <c r="AC221" s="69">
        <f t="shared" si="101"/>
        <v>375.71428571428578</v>
      </c>
      <c r="AD221" s="69">
        <f t="shared" si="91"/>
        <v>307</v>
      </c>
      <c r="AE221" s="70">
        <f t="shared" si="92"/>
        <v>0</v>
      </c>
      <c r="AF221" s="71">
        <f t="shared" si="97"/>
        <v>682.71428571428578</v>
      </c>
      <c r="AG221" s="71">
        <f t="shared" si="93"/>
        <v>7138.7142857142862</v>
      </c>
    </row>
    <row r="222" spans="1:33" x14ac:dyDescent="0.2">
      <c r="A222" s="74" t="s">
        <v>1610</v>
      </c>
      <c r="B222" s="75" t="e">
        <f t="shared" si="94"/>
        <v>#REF!</v>
      </c>
      <c r="C222" s="75" t="s">
        <v>1478</v>
      </c>
      <c r="D222" s="97" t="s">
        <v>50</v>
      </c>
      <c r="E222" s="97" t="s">
        <v>234</v>
      </c>
      <c r="F222" s="76">
        <v>42951</v>
      </c>
      <c r="G222" s="133"/>
      <c r="H222" s="133"/>
      <c r="I222" s="75">
        <v>27</v>
      </c>
      <c r="J222" s="68">
        <f t="shared" si="87"/>
        <v>4821.4285714285716</v>
      </c>
      <c r="K222" s="68">
        <f t="shared" si="88"/>
        <v>0</v>
      </c>
      <c r="L222" s="68">
        <f t="shared" si="99"/>
        <v>241.07142857142858</v>
      </c>
      <c r="M222" s="68"/>
      <c r="N222" s="68">
        <f t="shared" si="102"/>
        <v>771.42857142857144</v>
      </c>
      <c r="O222" s="68"/>
      <c r="P222" s="68">
        <f t="shared" si="98"/>
        <v>5060.5714285714284</v>
      </c>
      <c r="Q222" s="68"/>
      <c r="R222" s="68">
        <v>0</v>
      </c>
      <c r="S222" s="68">
        <v>0</v>
      </c>
      <c r="T222" s="68">
        <f t="shared" si="96"/>
        <v>10894.5</v>
      </c>
      <c r="U222" s="69">
        <f t="shared" si="100"/>
        <v>578.57142857142856</v>
      </c>
      <c r="V222" s="69">
        <f t="shared" si="95"/>
        <v>191</v>
      </c>
      <c r="W222" s="68">
        <v>0</v>
      </c>
      <c r="X222" s="68">
        <v>0</v>
      </c>
      <c r="Y222" s="68">
        <f t="shared" si="103"/>
        <v>769.57142857142856</v>
      </c>
      <c r="Z222" s="68">
        <f t="shared" si="89"/>
        <v>10124.928571428571</v>
      </c>
      <c r="AA222" s="68">
        <v>0</v>
      </c>
      <c r="AB222" s="68">
        <f t="shared" si="90"/>
        <v>10124.928571428571</v>
      </c>
      <c r="AC222" s="69">
        <f t="shared" si="101"/>
        <v>634.01785714285722</v>
      </c>
      <c r="AD222" s="69">
        <f t="shared" si="91"/>
        <v>518</v>
      </c>
      <c r="AE222" s="70">
        <f t="shared" si="92"/>
        <v>0</v>
      </c>
      <c r="AF222" s="71">
        <f t="shared" si="97"/>
        <v>1152.0178571428573</v>
      </c>
      <c r="AG222" s="71">
        <f t="shared" si="93"/>
        <v>12046.517857142857</v>
      </c>
    </row>
    <row r="223" spans="1:33" x14ac:dyDescent="0.2">
      <c r="A223" s="74" t="s">
        <v>1611</v>
      </c>
      <c r="B223" s="75" t="e">
        <f t="shared" si="94"/>
        <v>#REF!</v>
      </c>
      <c r="C223" s="75" t="s">
        <v>1479</v>
      </c>
      <c r="D223" s="97" t="s">
        <v>50</v>
      </c>
      <c r="E223" s="97" t="s">
        <v>234</v>
      </c>
      <c r="F223" s="76">
        <v>42952</v>
      </c>
      <c r="G223" s="133"/>
      <c r="H223" s="133"/>
      <c r="I223" s="75">
        <v>28</v>
      </c>
      <c r="J223" s="68">
        <f t="shared" si="87"/>
        <v>5000</v>
      </c>
      <c r="K223" s="68">
        <f t="shared" si="88"/>
        <v>0</v>
      </c>
      <c r="L223" s="68">
        <f t="shared" si="99"/>
        <v>250</v>
      </c>
      <c r="M223" s="68"/>
      <c r="N223" s="68">
        <f t="shared" si="102"/>
        <v>800</v>
      </c>
      <c r="O223" s="68"/>
      <c r="P223" s="68">
        <f t="shared" si="98"/>
        <v>5248</v>
      </c>
      <c r="Q223" s="68"/>
      <c r="R223" s="68">
        <v>0</v>
      </c>
      <c r="S223" s="68">
        <v>0</v>
      </c>
      <c r="T223" s="68">
        <f t="shared" ref="T223:T254" si="104">SUM(J223:S223)</f>
        <v>11298</v>
      </c>
      <c r="U223" s="69">
        <f t="shared" si="100"/>
        <v>600</v>
      </c>
      <c r="V223" s="69">
        <f t="shared" si="95"/>
        <v>198</v>
      </c>
      <c r="W223" s="68">
        <v>0</v>
      </c>
      <c r="X223" s="68">
        <v>0</v>
      </c>
      <c r="Y223" s="68">
        <f t="shared" si="103"/>
        <v>798</v>
      </c>
      <c r="Z223" s="68">
        <f t="shared" si="89"/>
        <v>10500</v>
      </c>
      <c r="AA223" s="68">
        <v>0</v>
      </c>
      <c r="AB223" s="68">
        <f t="shared" si="90"/>
        <v>10500</v>
      </c>
      <c r="AC223" s="69">
        <f t="shared" si="101"/>
        <v>657.5</v>
      </c>
      <c r="AD223" s="69">
        <f t="shared" si="91"/>
        <v>537</v>
      </c>
      <c r="AE223" s="70">
        <f t="shared" si="92"/>
        <v>0</v>
      </c>
      <c r="AF223" s="71">
        <f t="shared" si="97"/>
        <v>1194.5</v>
      </c>
      <c r="AG223" s="71">
        <f t="shared" si="93"/>
        <v>12492.5</v>
      </c>
    </row>
    <row r="224" spans="1:33" x14ac:dyDescent="0.2">
      <c r="A224" s="74" t="s">
        <v>1612</v>
      </c>
      <c r="B224" s="75" t="e">
        <f t="shared" si="94"/>
        <v>#REF!</v>
      </c>
      <c r="C224" s="75" t="s">
        <v>1480</v>
      </c>
      <c r="D224" s="97" t="s">
        <v>50</v>
      </c>
      <c r="E224" s="97" t="s">
        <v>234</v>
      </c>
      <c r="F224" s="76">
        <v>42953</v>
      </c>
      <c r="G224" s="133"/>
      <c r="H224" s="133"/>
      <c r="I224" s="75">
        <v>27</v>
      </c>
      <c r="J224" s="68">
        <f t="shared" si="87"/>
        <v>4821.4285714285716</v>
      </c>
      <c r="K224" s="68">
        <f t="shared" si="88"/>
        <v>0</v>
      </c>
      <c r="L224" s="68">
        <f t="shared" si="99"/>
        <v>241.07142857142858</v>
      </c>
      <c r="M224" s="68"/>
      <c r="N224" s="68">
        <f t="shared" si="102"/>
        <v>771.42857142857144</v>
      </c>
      <c r="O224" s="68"/>
      <c r="P224" s="68">
        <f t="shared" si="98"/>
        <v>5060.5714285714284</v>
      </c>
      <c r="Q224" s="68"/>
      <c r="R224" s="68">
        <v>0</v>
      </c>
      <c r="S224" s="68">
        <v>0</v>
      </c>
      <c r="T224" s="68">
        <f t="shared" si="104"/>
        <v>10894.5</v>
      </c>
      <c r="U224" s="69">
        <f t="shared" si="100"/>
        <v>578.57142857142856</v>
      </c>
      <c r="V224" s="69">
        <f t="shared" si="95"/>
        <v>191</v>
      </c>
      <c r="W224" s="68">
        <v>0</v>
      </c>
      <c r="X224" s="68">
        <v>0</v>
      </c>
      <c r="Y224" s="68">
        <f t="shared" si="103"/>
        <v>769.57142857142856</v>
      </c>
      <c r="Z224" s="68">
        <f t="shared" si="89"/>
        <v>10124.928571428571</v>
      </c>
      <c r="AA224" s="68">
        <v>0</v>
      </c>
      <c r="AB224" s="68">
        <f t="shared" si="90"/>
        <v>10124.928571428571</v>
      </c>
      <c r="AC224" s="69">
        <f t="shared" si="101"/>
        <v>634.01785714285722</v>
      </c>
      <c r="AD224" s="69">
        <f t="shared" si="91"/>
        <v>518</v>
      </c>
      <c r="AE224" s="70">
        <f t="shared" si="92"/>
        <v>0</v>
      </c>
      <c r="AF224" s="71">
        <f t="shared" si="97"/>
        <v>1152.0178571428573</v>
      </c>
      <c r="AG224" s="71">
        <f t="shared" si="93"/>
        <v>12046.517857142857</v>
      </c>
    </row>
    <row r="225" spans="1:33" x14ac:dyDescent="0.2">
      <c r="A225" s="74" t="s">
        <v>1628</v>
      </c>
      <c r="B225" s="75" t="e">
        <f t="shared" si="94"/>
        <v>#REF!</v>
      </c>
      <c r="C225" s="75" t="s">
        <v>492</v>
      </c>
      <c r="D225" s="97" t="s">
        <v>50</v>
      </c>
      <c r="E225" s="97" t="s">
        <v>234</v>
      </c>
      <c r="F225" s="76">
        <v>42954</v>
      </c>
      <c r="G225" s="133"/>
      <c r="H225" s="133"/>
      <c r="I225" s="75">
        <v>24</v>
      </c>
      <c r="J225" s="68">
        <f t="shared" si="87"/>
        <v>4285.7142857142862</v>
      </c>
      <c r="K225" s="68">
        <f t="shared" si="88"/>
        <v>0</v>
      </c>
      <c r="L225" s="68">
        <f t="shared" si="99"/>
        <v>214.28571428571433</v>
      </c>
      <c r="M225" s="68"/>
      <c r="N225" s="68">
        <f t="shared" si="102"/>
        <v>685.71428571428578</v>
      </c>
      <c r="O225" s="68"/>
      <c r="P225" s="68">
        <f t="shared" si="98"/>
        <v>4498.2857142857138</v>
      </c>
      <c r="Q225" s="68"/>
      <c r="R225" s="68">
        <v>0</v>
      </c>
      <c r="S225" s="68">
        <v>0</v>
      </c>
      <c r="T225" s="68">
        <f t="shared" si="104"/>
        <v>9684</v>
      </c>
      <c r="U225" s="69">
        <f t="shared" si="100"/>
        <v>514.28571428571433</v>
      </c>
      <c r="V225" s="69">
        <f t="shared" si="95"/>
        <v>170</v>
      </c>
      <c r="W225" s="68">
        <v>0</v>
      </c>
      <c r="X225" s="68">
        <v>0</v>
      </c>
      <c r="Y225" s="68">
        <f t="shared" si="103"/>
        <v>684.28571428571433</v>
      </c>
      <c r="Z225" s="68">
        <f t="shared" si="89"/>
        <v>8999.7142857142862</v>
      </c>
      <c r="AA225" s="68">
        <v>0</v>
      </c>
      <c r="AB225" s="68">
        <f t="shared" si="90"/>
        <v>8999.7142857142862</v>
      </c>
      <c r="AC225" s="69">
        <f t="shared" si="101"/>
        <v>563.57142857142867</v>
      </c>
      <c r="AD225" s="69">
        <f t="shared" si="91"/>
        <v>460</v>
      </c>
      <c r="AE225" s="70">
        <f t="shared" si="92"/>
        <v>0</v>
      </c>
      <c r="AF225" s="71">
        <f t="shared" si="97"/>
        <v>1023.5714285714287</v>
      </c>
      <c r="AG225" s="71">
        <f t="shared" si="93"/>
        <v>10707.571428571429</v>
      </c>
    </row>
    <row r="226" spans="1:33" x14ac:dyDescent="0.2">
      <c r="A226" s="74" t="s">
        <v>1613</v>
      </c>
      <c r="B226" s="75" t="e">
        <f t="shared" si="94"/>
        <v>#REF!</v>
      </c>
      <c r="C226" s="75" t="s">
        <v>953</v>
      </c>
      <c r="D226" s="97" t="s">
        <v>50</v>
      </c>
      <c r="E226" s="97" t="s">
        <v>234</v>
      </c>
      <c r="F226" s="76">
        <v>42955</v>
      </c>
      <c r="G226" s="133"/>
      <c r="H226" s="133"/>
      <c r="I226" s="75">
        <v>15</v>
      </c>
      <c r="J226" s="68">
        <f t="shared" si="87"/>
        <v>2678.5714285714289</v>
      </c>
      <c r="K226" s="68">
        <f t="shared" si="88"/>
        <v>0</v>
      </c>
      <c r="L226" s="68">
        <f t="shared" si="99"/>
        <v>133.92857142857144</v>
      </c>
      <c r="M226" s="68"/>
      <c r="N226" s="68">
        <f t="shared" si="102"/>
        <v>428.57142857142861</v>
      </c>
      <c r="O226" s="68"/>
      <c r="P226" s="68">
        <f t="shared" si="98"/>
        <v>2811.4285714285711</v>
      </c>
      <c r="Q226" s="68"/>
      <c r="R226" s="68">
        <v>0</v>
      </c>
      <c r="S226" s="68">
        <v>0</v>
      </c>
      <c r="T226" s="68">
        <f t="shared" si="104"/>
        <v>6052.5</v>
      </c>
      <c r="U226" s="69">
        <f t="shared" si="100"/>
        <v>321.42857142857144</v>
      </c>
      <c r="V226" s="69">
        <f t="shared" si="95"/>
        <v>106</v>
      </c>
      <c r="W226" s="68">
        <v>0</v>
      </c>
      <c r="X226" s="68">
        <v>0</v>
      </c>
      <c r="Y226" s="68">
        <f t="shared" si="103"/>
        <v>427.42857142857144</v>
      </c>
      <c r="Z226" s="68">
        <f t="shared" si="89"/>
        <v>5625.0714285714284</v>
      </c>
      <c r="AA226" s="68">
        <v>0</v>
      </c>
      <c r="AB226" s="68">
        <f t="shared" si="90"/>
        <v>5625.0714285714284</v>
      </c>
      <c r="AC226" s="69">
        <f t="shared" si="101"/>
        <v>352.23214285714289</v>
      </c>
      <c r="AD226" s="69">
        <f t="shared" si="91"/>
        <v>288</v>
      </c>
      <c r="AE226" s="70">
        <f t="shared" si="92"/>
        <v>0</v>
      </c>
      <c r="AF226" s="71">
        <f t="shared" si="97"/>
        <v>640.23214285714289</v>
      </c>
      <c r="AG226" s="71">
        <f t="shared" si="93"/>
        <v>6692.7321428571431</v>
      </c>
    </row>
    <row r="227" spans="1:33" x14ac:dyDescent="0.2">
      <c r="A227" s="74" t="s">
        <v>1614</v>
      </c>
      <c r="B227" s="75" t="e">
        <f t="shared" si="94"/>
        <v>#REF!</v>
      </c>
      <c r="C227" s="75" t="s">
        <v>565</v>
      </c>
      <c r="D227" s="97" t="s">
        <v>50</v>
      </c>
      <c r="E227" s="97" t="s">
        <v>234</v>
      </c>
      <c r="F227" s="76">
        <v>42956</v>
      </c>
      <c r="G227" s="133"/>
      <c r="H227" s="133"/>
      <c r="I227" s="75">
        <v>13</v>
      </c>
      <c r="J227" s="68">
        <f t="shared" si="87"/>
        <v>2321.4285714285716</v>
      </c>
      <c r="K227" s="68">
        <f t="shared" si="88"/>
        <v>0</v>
      </c>
      <c r="L227" s="68">
        <f t="shared" si="99"/>
        <v>116.07142857142858</v>
      </c>
      <c r="M227" s="68"/>
      <c r="N227" s="68">
        <f t="shared" si="102"/>
        <v>371.42857142857144</v>
      </c>
      <c r="O227" s="68"/>
      <c r="P227" s="68">
        <f t="shared" si="98"/>
        <v>2436.5714285714284</v>
      </c>
      <c r="Q227" s="68"/>
      <c r="R227" s="68">
        <v>0</v>
      </c>
      <c r="S227" s="68">
        <v>0</v>
      </c>
      <c r="T227" s="68">
        <f t="shared" si="104"/>
        <v>5245.5</v>
      </c>
      <c r="U227" s="69">
        <f t="shared" si="100"/>
        <v>278.57142857142856</v>
      </c>
      <c r="V227" s="69">
        <f t="shared" si="95"/>
        <v>92</v>
      </c>
      <c r="W227" s="68">
        <v>0</v>
      </c>
      <c r="X227" s="68">
        <v>0</v>
      </c>
      <c r="Y227" s="68">
        <f t="shared" si="103"/>
        <v>370.57142857142856</v>
      </c>
      <c r="Z227" s="68">
        <f t="shared" si="89"/>
        <v>4874.9285714285716</v>
      </c>
      <c r="AA227" s="68">
        <v>0</v>
      </c>
      <c r="AB227" s="68">
        <f t="shared" si="90"/>
        <v>4874.9285714285716</v>
      </c>
      <c r="AC227" s="69">
        <f t="shared" si="101"/>
        <v>305.26785714285717</v>
      </c>
      <c r="AD227" s="69">
        <f t="shared" si="91"/>
        <v>250</v>
      </c>
      <c r="AE227" s="70">
        <f t="shared" si="92"/>
        <v>0</v>
      </c>
      <c r="AF227" s="71">
        <f t="shared" si="97"/>
        <v>555.26785714285711</v>
      </c>
      <c r="AG227" s="71">
        <f t="shared" si="93"/>
        <v>5800.7678571428569</v>
      </c>
    </row>
    <row r="228" spans="1:33" x14ac:dyDescent="0.2">
      <c r="A228" s="74" t="s">
        <v>1616</v>
      </c>
      <c r="B228" s="75" t="e">
        <f t="shared" si="94"/>
        <v>#REF!</v>
      </c>
      <c r="C228" s="75" t="s">
        <v>533</v>
      </c>
      <c r="D228" s="97" t="s">
        <v>50</v>
      </c>
      <c r="E228" s="97" t="s">
        <v>234</v>
      </c>
      <c r="F228" s="76">
        <v>42957</v>
      </c>
      <c r="G228" s="133"/>
      <c r="H228" s="133"/>
      <c r="I228" s="75">
        <v>29</v>
      </c>
      <c r="J228" s="68">
        <f t="shared" si="87"/>
        <v>5178.5714285714294</v>
      </c>
      <c r="K228" s="68">
        <f t="shared" si="88"/>
        <v>0</v>
      </c>
      <c r="L228" s="68">
        <f t="shared" si="99"/>
        <v>258.9285714285715</v>
      </c>
      <c r="M228" s="68"/>
      <c r="N228" s="68">
        <f t="shared" si="102"/>
        <v>828.57142857142867</v>
      </c>
      <c r="O228" s="68"/>
      <c r="P228" s="68">
        <f t="shared" si="98"/>
        <v>5435.4285714285706</v>
      </c>
      <c r="Q228" s="68"/>
      <c r="R228" s="68">
        <v>0</v>
      </c>
      <c r="S228" s="68">
        <v>0</v>
      </c>
      <c r="T228" s="68">
        <f t="shared" si="104"/>
        <v>11701.5</v>
      </c>
      <c r="U228" s="69">
        <f t="shared" si="100"/>
        <v>621.42857142857144</v>
      </c>
      <c r="V228" s="69">
        <f t="shared" si="95"/>
        <v>205</v>
      </c>
      <c r="W228" s="68">
        <v>0</v>
      </c>
      <c r="X228" s="68">
        <v>0</v>
      </c>
      <c r="Y228" s="68">
        <f t="shared" si="103"/>
        <v>826.42857142857144</v>
      </c>
      <c r="Z228" s="68">
        <f t="shared" si="89"/>
        <v>10875.071428571429</v>
      </c>
      <c r="AA228" s="68">
        <v>0</v>
      </c>
      <c r="AB228" s="68">
        <f t="shared" si="90"/>
        <v>10875.071428571429</v>
      </c>
      <c r="AC228" s="69">
        <f t="shared" si="101"/>
        <v>680.982142857143</v>
      </c>
      <c r="AD228" s="69">
        <f t="shared" si="91"/>
        <v>556</v>
      </c>
      <c r="AE228" s="70">
        <f t="shared" si="92"/>
        <v>0</v>
      </c>
      <c r="AF228" s="71">
        <f t="shared" si="97"/>
        <v>1236.9821428571431</v>
      </c>
      <c r="AG228" s="71">
        <f t="shared" si="93"/>
        <v>12938.482142857143</v>
      </c>
    </row>
    <row r="229" spans="1:33" x14ac:dyDescent="0.2">
      <c r="A229" s="74" t="s">
        <v>1619</v>
      </c>
      <c r="B229" s="75" t="e">
        <f>#REF!+1</f>
        <v>#REF!</v>
      </c>
      <c r="C229" s="75" t="s">
        <v>1483</v>
      </c>
      <c r="D229" s="97" t="s">
        <v>50</v>
      </c>
      <c r="E229" s="97" t="s">
        <v>234</v>
      </c>
      <c r="F229" s="76">
        <v>42958</v>
      </c>
      <c r="G229" s="133"/>
      <c r="H229" s="133"/>
      <c r="I229" s="75">
        <v>24</v>
      </c>
      <c r="J229" s="68">
        <f t="shared" si="87"/>
        <v>4285.7142857142862</v>
      </c>
      <c r="K229" s="68">
        <f t="shared" si="88"/>
        <v>0</v>
      </c>
      <c r="L229" s="68">
        <f t="shared" si="99"/>
        <v>214.28571428571433</v>
      </c>
      <c r="M229" s="68"/>
      <c r="N229" s="68">
        <f t="shared" si="102"/>
        <v>685.71428571428578</v>
      </c>
      <c r="O229" s="68"/>
      <c r="P229" s="68">
        <f t="shared" si="98"/>
        <v>4498.2857142857138</v>
      </c>
      <c r="Q229" s="68"/>
      <c r="R229" s="68">
        <v>0</v>
      </c>
      <c r="S229" s="68">
        <v>0</v>
      </c>
      <c r="T229" s="68">
        <f t="shared" si="104"/>
        <v>9684</v>
      </c>
      <c r="U229" s="69">
        <f t="shared" si="100"/>
        <v>514.28571428571433</v>
      </c>
      <c r="V229" s="69">
        <f t="shared" si="95"/>
        <v>170</v>
      </c>
      <c r="W229" s="68">
        <v>0</v>
      </c>
      <c r="X229" s="68">
        <v>0</v>
      </c>
      <c r="Y229" s="68">
        <f t="shared" si="103"/>
        <v>684.28571428571433</v>
      </c>
      <c r="Z229" s="68">
        <f t="shared" si="89"/>
        <v>8999.7142857142862</v>
      </c>
      <c r="AA229" s="68">
        <v>0</v>
      </c>
      <c r="AB229" s="68">
        <f t="shared" si="90"/>
        <v>8999.7142857142862</v>
      </c>
      <c r="AC229" s="69">
        <f t="shared" si="101"/>
        <v>563.57142857142867</v>
      </c>
      <c r="AD229" s="69">
        <f t="shared" si="91"/>
        <v>460</v>
      </c>
      <c r="AE229" s="70">
        <f t="shared" si="92"/>
        <v>0</v>
      </c>
      <c r="AF229" s="71">
        <f t="shared" si="97"/>
        <v>1023.5714285714287</v>
      </c>
      <c r="AG229" s="71">
        <f t="shared" si="93"/>
        <v>10707.571428571429</v>
      </c>
    </row>
    <row r="230" spans="1:33" x14ac:dyDescent="0.2">
      <c r="A230" s="74" t="s">
        <v>1620</v>
      </c>
      <c r="B230" s="75" t="e">
        <f t="shared" si="94"/>
        <v>#REF!</v>
      </c>
      <c r="C230" s="75" t="s">
        <v>1484</v>
      </c>
      <c r="D230" s="97" t="s">
        <v>50</v>
      </c>
      <c r="E230" s="97" t="s">
        <v>234</v>
      </c>
      <c r="F230" s="76">
        <v>42959</v>
      </c>
      <c r="G230" s="133"/>
      <c r="H230" s="133"/>
      <c r="I230" s="75">
        <v>26</v>
      </c>
      <c r="J230" s="68">
        <f t="shared" si="87"/>
        <v>4642.8571428571431</v>
      </c>
      <c r="K230" s="68">
        <f t="shared" si="88"/>
        <v>0</v>
      </c>
      <c r="L230" s="68">
        <f t="shared" si="99"/>
        <v>232.14285714285717</v>
      </c>
      <c r="M230" s="68"/>
      <c r="N230" s="68">
        <f t="shared" si="102"/>
        <v>742.85714285714289</v>
      </c>
      <c r="O230" s="68"/>
      <c r="P230" s="68">
        <f t="shared" si="98"/>
        <v>4873.1428571428569</v>
      </c>
      <c r="Q230" s="68"/>
      <c r="R230" s="68">
        <v>0</v>
      </c>
      <c r="S230" s="68">
        <v>0</v>
      </c>
      <c r="T230" s="68">
        <f t="shared" si="104"/>
        <v>10491</v>
      </c>
      <c r="U230" s="69">
        <f t="shared" si="100"/>
        <v>557.14285714285711</v>
      </c>
      <c r="V230" s="69">
        <f t="shared" si="95"/>
        <v>184</v>
      </c>
      <c r="W230" s="68">
        <v>0</v>
      </c>
      <c r="X230" s="68">
        <v>0</v>
      </c>
      <c r="Y230" s="68">
        <f t="shared" si="103"/>
        <v>741.14285714285711</v>
      </c>
      <c r="Z230" s="68">
        <f t="shared" si="89"/>
        <v>9749.8571428571431</v>
      </c>
      <c r="AA230" s="68">
        <v>0</v>
      </c>
      <c r="AB230" s="68">
        <f t="shared" si="90"/>
        <v>9749.8571428571431</v>
      </c>
      <c r="AC230" s="69">
        <f t="shared" si="101"/>
        <v>610.53571428571433</v>
      </c>
      <c r="AD230" s="69">
        <f t="shared" si="91"/>
        <v>499</v>
      </c>
      <c r="AE230" s="70">
        <f t="shared" si="92"/>
        <v>0</v>
      </c>
      <c r="AF230" s="71">
        <f t="shared" si="97"/>
        <v>1109.5357142857142</v>
      </c>
      <c r="AG230" s="71">
        <f t="shared" si="93"/>
        <v>11600.535714285714</v>
      </c>
    </row>
    <row r="231" spans="1:33" x14ac:dyDescent="0.2">
      <c r="A231" s="74" t="s">
        <v>1621</v>
      </c>
      <c r="B231" s="75" t="e">
        <f t="shared" si="94"/>
        <v>#REF!</v>
      </c>
      <c r="C231" s="75" t="s">
        <v>1485</v>
      </c>
      <c r="D231" s="97" t="s">
        <v>50</v>
      </c>
      <c r="E231" s="97" t="s">
        <v>234</v>
      </c>
      <c r="F231" s="76">
        <v>42960</v>
      </c>
      <c r="G231" s="133"/>
      <c r="H231" s="133"/>
      <c r="I231" s="75">
        <v>27</v>
      </c>
      <c r="J231" s="68">
        <f t="shared" si="87"/>
        <v>4821.4285714285716</v>
      </c>
      <c r="K231" s="68">
        <f t="shared" si="88"/>
        <v>0</v>
      </c>
      <c r="L231" s="68">
        <f t="shared" si="99"/>
        <v>241.07142857142858</v>
      </c>
      <c r="M231" s="68"/>
      <c r="N231" s="68">
        <f t="shared" si="102"/>
        <v>771.42857142857144</v>
      </c>
      <c r="O231" s="68"/>
      <c r="P231" s="68">
        <f t="shared" si="98"/>
        <v>5060.5714285714284</v>
      </c>
      <c r="Q231" s="68"/>
      <c r="R231" s="68">
        <v>0</v>
      </c>
      <c r="S231" s="68">
        <v>0</v>
      </c>
      <c r="T231" s="68">
        <f t="shared" si="104"/>
        <v>10894.5</v>
      </c>
      <c r="U231" s="69">
        <f t="shared" si="100"/>
        <v>578.57142857142856</v>
      </c>
      <c r="V231" s="69">
        <f t="shared" si="95"/>
        <v>191</v>
      </c>
      <c r="W231" s="68">
        <v>0</v>
      </c>
      <c r="X231" s="68">
        <v>0</v>
      </c>
      <c r="Y231" s="68">
        <f t="shared" si="103"/>
        <v>769.57142857142856</v>
      </c>
      <c r="Z231" s="68">
        <f t="shared" si="89"/>
        <v>10124.928571428571</v>
      </c>
      <c r="AA231" s="68">
        <v>0</v>
      </c>
      <c r="AB231" s="68">
        <f t="shared" si="90"/>
        <v>10124.928571428571</v>
      </c>
      <c r="AC231" s="69">
        <f t="shared" si="101"/>
        <v>634.01785714285722</v>
      </c>
      <c r="AD231" s="69">
        <f t="shared" si="91"/>
        <v>518</v>
      </c>
      <c r="AE231" s="70">
        <f t="shared" si="92"/>
        <v>0</v>
      </c>
      <c r="AF231" s="71">
        <f t="shared" si="97"/>
        <v>1152.0178571428573</v>
      </c>
      <c r="AG231" s="71">
        <f t="shared" si="93"/>
        <v>12046.517857142857</v>
      </c>
    </row>
    <row r="232" spans="1:33" x14ac:dyDescent="0.2">
      <c r="A232" s="74" t="s">
        <v>1622</v>
      </c>
      <c r="B232" s="75" t="e">
        <f t="shared" si="94"/>
        <v>#REF!</v>
      </c>
      <c r="C232" s="75" t="s">
        <v>1486</v>
      </c>
      <c r="D232" s="97" t="s">
        <v>50</v>
      </c>
      <c r="E232" s="97" t="s">
        <v>234</v>
      </c>
      <c r="F232" s="76">
        <v>42961</v>
      </c>
      <c r="G232" s="133"/>
      <c r="H232" s="133"/>
      <c r="I232" s="75">
        <v>27</v>
      </c>
      <c r="J232" s="68">
        <f t="shared" si="87"/>
        <v>4821.4285714285716</v>
      </c>
      <c r="K232" s="68">
        <f t="shared" si="88"/>
        <v>0</v>
      </c>
      <c r="L232" s="68">
        <f t="shared" si="99"/>
        <v>241.07142857142858</v>
      </c>
      <c r="M232" s="68"/>
      <c r="N232" s="68">
        <f t="shared" si="102"/>
        <v>771.42857142857144</v>
      </c>
      <c r="O232" s="68"/>
      <c r="P232" s="68">
        <f t="shared" si="98"/>
        <v>5060.5714285714284</v>
      </c>
      <c r="Q232" s="68"/>
      <c r="R232" s="68">
        <v>0</v>
      </c>
      <c r="S232" s="68">
        <v>0</v>
      </c>
      <c r="T232" s="68">
        <f t="shared" si="104"/>
        <v>10894.5</v>
      </c>
      <c r="U232" s="69">
        <f t="shared" si="100"/>
        <v>578.57142857142856</v>
      </c>
      <c r="V232" s="69">
        <f t="shared" si="95"/>
        <v>191</v>
      </c>
      <c r="W232" s="68">
        <v>0</v>
      </c>
      <c r="X232" s="68">
        <v>0</v>
      </c>
      <c r="Y232" s="68">
        <f t="shared" si="103"/>
        <v>769.57142857142856</v>
      </c>
      <c r="Z232" s="68">
        <f t="shared" si="89"/>
        <v>10124.928571428571</v>
      </c>
      <c r="AA232" s="68">
        <v>0</v>
      </c>
      <c r="AB232" s="68">
        <f t="shared" si="90"/>
        <v>10124.928571428571</v>
      </c>
      <c r="AC232" s="69">
        <f t="shared" si="101"/>
        <v>634.01785714285722</v>
      </c>
      <c r="AD232" s="69">
        <f t="shared" si="91"/>
        <v>518</v>
      </c>
      <c r="AE232" s="70">
        <f t="shared" si="92"/>
        <v>0</v>
      </c>
      <c r="AF232" s="71">
        <f t="shared" si="97"/>
        <v>1152.0178571428573</v>
      </c>
      <c r="AG232" s="71">
        <f t="shared" si="93"/>
        <v>12046.517857142857</v>
      </c>
    </row>
    <row r="233" spans="1:33" x14ac:dyDescent="0.2">
      <c r="A233" s="74" t="s">
        <v>1623</v>
      </c>
      <c r="B233" s="75" t="e">
        <f t="shared" si="94"/>
        <v>#REF!</v>
      </c>
      <c r="C233" s="75" t="s">
        <v>1487</v>
      </c>
      <c r="D233" s="97" t="s">
        <v>50</v>
      </c>
      <c r="E233" s="97" t="s">
        <v>234</v>
      </c>
      <c r="F233" s="76">
        <v>42962</v>
      </c>
      <c r="G233" s="133"/>
      <c r="H233" s="133"/>
      <c r="I233" s="75">
        <v>29</v>
      </c>
      <c r="J233" s="68">
        <f t="shared" si="87"/>
        <v>5178.5714285714294</v>
      </c>
      <c r="K233" s="68">
        <f t="shared" si="88"/>
        <v>0</v>
      </c>
      <c r="L233" s="68">
        <f t="shared" si="99"/>
        <v>258.9285714285715</v>
      </c>
      <c r="M233" s="68"/>
      <c r="N233" s="68">
        <f t="shared" si="102"/>
        <v>828.57142857142867</v>
      </c>
      <c r="O233" s="68"/>
      <c r="P233" s="68">
        <f t="shared" si="98"/>
        <v>5435.4285714285706</v>
      </c>
      <c r="Q233" s="68"/>
      <c r="R233" s="68">
        <v>0</v>
      </c>
      <c r="S233" s="68">
        <v>0</v>
      </c>
      <c r="T233" s="68">
        <f t="shared" si="104"/>
        <v>11701.5</v>
      </c>
      <c r="U233" s="69">
        <f t="shared" si="100"/>
        <v>621.42857142857144</v>
      </c>
      <c r="V233" s="69">
        <f t="shared" si="95"/>
        <v>205</v>
      </c>
      <c r="W233" s="68">
        <v>0</v>
      </c>
      <c r="X233" s="68">
        <v>0</v>
      </c>
      <c r="Y233" s="68">
        <f t="shared" si="103"/>
        <v>826.42857142857144</v>
      </c>
      <c r="Z233" s="68">
        <f t="shared" si="89"/>
        <v>10875.071428571429</v>
      </c>
      <c r="AA233" s="68">
        <v>0</v>
      </c>
      <c r="AB233" s="68">
        <f t="shared" si="90"/>
        <v>10875.071428571429</v>
      </c>
      <c r="AC233" s="69">
        <f t="shared" si="101"/>
        <v>680.982142857143</v>
      </c>
      <c r="AD233" s="69">
        <f t="shared" si="91"/>
        <v>556</v>
      </c>
      <c r="AE233" s="70">
        <f t="shared" si="92"/>
        <v>0</v>
      </c>
      <c r="AF233" s="71">
        <f t="shared" si="97"/>
        <v>1236.9821428571431</v>
      </c>
      <c r="AG233" s="71">
        <f t="shared" si="93"/>
        <v>12938.482142857143</v>
      </c>
    </row>
    <row r="234" spans="1:33" x14ac:dyDescent="0.2">
      <c r="A234" s="74" t="s">
        <v>1624</v>
      </c>
      <c r="B234" s="75" t="e">
        <f t="shared" si="94"/>
        <v>#REF!</v>
      </c>
      <c r="C234" s="75" t="s">
        <v>1488</v>
      </c>
      <c r="D234" s="97" t="s">
        <v>50</v>
      </c>
      <c r="E234" s="97" t="s">
        <v>234</v>
      </c>
      <c r="F234" s="76">
        <v>42963</v>
      </c>
      <c r="G234" s="133"/>
      <c r="H234" s="133"/>
      <c r="I234" s="75">
        <v>27</v>
      </c>
      <c r="J234" s="68">
        <f t="shared" ref="J234:J257" si="105">(5000/I$3)*I234</f>
        <v>4821.4285714285716</v>
      </c>
      <c r="K234" s="68">
        <f t="shared" ref="K234:K257" si="106">((0)/I$3)*I234</f>
        <v>0</v>
      </c>
      <c r="L234" s="68">
        <f t="shared" si="99"/>
        <v>241.07142857142858</v>
      </c>
      <c r="M234" s="68"/>
      <c r="N234" s="68">
        <f t="shared" si="102"/>
        <v>771.42857142857144</v>
      </c>
      <c r="O234" s="68"/>
      <c r="P234" s="68">
        <f t="shared" si="98"/>
        <v>5060.5714285714284</v>
      </c>
      <c r="Q234" s="68"/>
      <c r="R234" s="68">
        <v>0</v>
      </c>
      <c r="S234" s="68">
        <v>0</v>
      </c>
      <c r="T234" s="68">
        <f t="shared" si="104"/>
        <v>10894.5</v>
      </c>
      <c r="U234" s="69">
        <f t="shared" si="100"/>
        <v>578.57142857142856</v>
      </c>
      <c r="V234" s="69">
        <f t="shared" si="95"/>
        <v>191</v>
      </c>
      <c r="W234" s="68">
        <v>0</v>
      </c>
      <c r="X234" s="68">
        <v>0</v>
      </c>
      <c r="Y234" s="68">
        <f t="shared" si="103"/>
        <v>769.57142857142856</v>
      </c>
      <c r="Z234" s="68">
        <f t="shared" ref="Z234:Z257" si="107">T234-Y234</f>
        <v>10124.928571428571</v>
      </c>
      <c r="AA234" s="68">
        <v>0</v>
      </c>
      <c r="AB234" s="68">
        <f t="shared" ref="AB234:AB257" si="108">Z234-AA234</f>
        <v>10124.928571428571</v>
      </c>
      <c r="AC234" s="69">
        <f t="shared" si="101"/>
        <v>634.01785714285722</v>
      </c>
      <c r="AD234" s="69">
        <f t="shared" ref="AD234:AD257" si="109">CEILING((T234)*4.75%,1)</f>
        <v>518</v>
      </c>
      <c r="AE234" s="70">
        <f t="shared" ref="AE234:AE257" si="110">X234*3</f>
        <v>0</v>
      </c>
      <c r="AF234" s="71">
        <f t="shared" si="97"/>
        <v>1152.0178571428573</v>
      </c>
      <c r="AG234" s="71">
        <f t="shared" ref="AG234:AG257" si="111">T234+AF234</f>
        <v>12046.517857142857</v>
      </c>
    </row>
    <row r="235" spans="1:33" x14ac:dyDescent="0.2">
      <c r="A235" s="74" t="s">
        <v>642</v>
      </c>
      <c r="B235" s="75" t="e">
        <f t="shared" ref="B235:B257" si="112">B234+1</f>
        <v>#REF!</v>
      </c>
      <c r="C235" s="75" t="s">
        <v>407</v>
      </c>
      <c r="D235" s="97" t="s">
        <v>50</v>
      </c>
      <c r="E235" s="97" t="s">
        <v>484</v>
      </c>
      <c r="F235" s="76">
        <v>42964</v>
      </c>
      <c r="G235" s="133"/>
      <c r="H235" s="133"/>
      <c r="I235" s="75">
        <v>27</v>
      </c>
      <c r="J235" s="68">
        <f t="shared" si="105"/>
        <v>4821.4285714285716</v>
      </c>
      <c r="K235" s="68">
        <f t="shared" si="106"/>
        <v>0</v>
      </c>
      <c r="L235" s="68">
        <f t="shared" si="99"/>
        <v>241.07142857142858</v>
      </c>
      <c r="M235" s="68"/>
      <c r="N235" s="68">
        <f t="shared" si="102"/>
        <v>771.42857142857144</v>
      </c>
      <c r="O235" s="68"/>
      <c r="P235" s="68">
        <f>((5248-1018)/I$3)*I235</f>
        <v>4078.9285714285716</v>
      </c>
      <c r="Q235" s="68"/>
      <c r="R235" s="68">
        <v>0</v>
      </c>
      <c r="S235" s="68">
        <v>0</v>
      </c>
      <c r="T235" s="68">
        <f t="shared" si="104"/>
        <v>9912.8571428571431</v>
      </c>
      <c r="U235" s="69">
        <f t="shared" si="100"/>
        <v>578.57142857142856</v>
      </c>
      <c r="V235" s="69">
        <f t="shared" ref="V235:V257" si="113">ROUNDUP((T235*1.75%),0)</f>
        <v>174</v>
      </c>
      <c r="W235" s="68">
        <v>0</v>
      </c>
      <c r="X235" s="68">
        <v>0</v>
      </c>
      <c r="Y235" s="68">
        <f t="shared" si="103"/>
        <v>752.57142857142856</v>
      </c>
      <c r="Z235" s="68">
        <f t="shared" si="107"/>
        <v>9160.2857142857138</v>
      </c>
      <c r="AA235" s="68">
        <v>0</v>
      </c>
      <c r="AB235" s="68">
        <f t="shared" si="108"/>
        <v>9160.2857142857138</v>
      </c>
      <c r="AC235" s="69">
        <f t="shared" si="101"/>
        <v>634.01785714285722</v>
      </c>
      <c r="AD235" s="69">
        <f t="shared" si="109"/>
        <v>471</v>
      </c>
      <c r="AE235" s="70">
        <f t="shared" si="110"/>
        <v>0</v>
      </c>
      <c r="AF235" s="71">
        <f t="shared" si="97"/>
        <v>1105.0178571428573</v>
      </c>
      <c r="AG235" s="71">
        <f t="shared" si="111"/>
        <v>11017.875</v>
      </c>
    </row>
    <row r="236" spans="1:33" x14ac:dyDescent="0.2">
      <c r="A236" s="74" t="s">
        <v>162</v>
      </c>
      <c r="B236" s="75" t="e">
        <f t="shared" si="112"/>
        <v>#REF!</v>
      </c>
      <c r="C236" s="75" t="s">
        <v>136</v>
      </c>
      <c r="D236" s="97" t="s">
        <v>50</v>
      </c>
      <c r="E236" s="97" t="s">
        <v>238</v>
      </c>
      <c r="F236" s="76">
        <v>42965</v>
      </c>
      <c r="G236" s="133"/>
      <c r="H236" s="133"/>
      <c r="I236" s="75">
        <v>31</v>
      </c>
      <c r="J236" s="68">
        <f t="shared" si="105"/>
        <v>5535.7142857142862</v>
      </c>
      <c r="K236" s="68">
        <f t="shared" si="106"/>
        <v>0</v>
      </c>
      <c r="L236" s="68">
        <f t="shared" si="99"/>
        <v>276.78571428571433</v>
      </c>
      <c r="M236" s="68"/>
      <c r="N236" s="68">
        <f t="shared" si="102"/>
        <v>885.71428571428578</v>
      </c>
      <c r="O236" s="68"/>
      <c r="P236" s="68">
        <f>((5248+1069)/I$3)*I236</f>
        <v>6993.8214285714284</v>
      </c>
      <c r="Q236" s="68"/>
      <c r="R236" s="68">
        <v>0</v>
      </c>
      <c r="S236" s="68">
        <v>0</v>
      </c>
      <c r="T236" s="68">
        <f t="shared" si="104"/>
        <v>13692.035714285714</v>
      </c>
      <c r="U236" s="69">
        <f t="shared" si="100"/>
        <v>664.28571428571433</v>
      </c>
      <c r="V236" s="69">
        <f t="shared" si="113"/>
        <v>240</v>
      </c>
      <c r="W236" s="68">
        <v>0</v>
      </c>
      <c r="X236" s="68">
        <v>0</v>
      </c>
      <c r="Y236" s="68">
        <f t="shared" si="103"/>
        <v>904.28571428571433</v>
      </c>
      <c r="Z236" s="68">
        <f t="shared" si="107"/>
        <v>12787.75</v>
      </c>
      <c r="AA236" s="68">
        <v>0</v>
      </c>
      <c r="AB236" s="68">
        <f t="shared" si="108"/>
        <v>12787.75</v>
      </c>
      <c r="AC236" s="69">
        <f t="shared" si="101"/>
        <v>727.94642857142867</v>
      </c>
      <c r="AD236" s="69">
        <f t="shared" si="109"/>
        <v>651</v>
      </c>
      <c r="AE236" s="70">
        <f t="shared" si="110"/>
        <v>0</v>
      </c>
      <c r="AF236" s="71">
        <f t="shared" si="97"/>
        <v>1378.9464285714287</v>
      </c>
      <c r="AG236" s="71">
        <f t="shared" si="111"/>
        <v>15070.982142857143</v>
      </c>
    </row>
    <row r="237" spans="1:33" x14ac:dyDescent="0.2">
      <c r="A237" s="74" t="s">
        <v>280</v>
      </c>
      <c r="B237" s="75" t="e">
        <f t="shared" si="112"/>
        <v>#REF!</v>
      </c>
      <c r="C237" s="75" t="s">
        <v>1490</v>
      </c>
      <c r="D237" s="97" t="s">
        <v>50</v>
      </c>
      <c r="E237" s="97" t="s">
        <v>238</v>
      </c>
      <c r="F237" s="76">
        <v>42966</v>
      </c>
      <c r="G237" s="133"/>
      <c r="H237" s="133"/>
      <c r="I237" s="75">
        <v>30</v>
      </c>
      <c r="J237" s="68">
        <f t="shared" si="105"/>
        <v>5357.1428571428578</v>
      </c>
      <c r="K237" s="68">
        <f t="shared" si="106"/>
        <v>0</v>
      </c>
      <c r="L237" s="68">
        <f t="shared" si="99"/>
        <v>267.85714285714289</v>
      </c>
      <c r="M237" s="68"/>
      <c r="N237" s="68">
        <f t="shared" si="102"/>
        <v>857.14285714285722</v>
      </c>
      <c r="O237" s="68"/>
      <c r="P237" s="68">
        <f>((5248)/I$3)*I237</f>
        <v>5622.8571428571422</v>
      </c>
      <c r="Q237" s="68"/>
      <c r="R237" s="68">
        <v>0</v>
      </c>
      <c r="S237" s="68">
        <v>0</v>
      </c>
      <c r="T237" s="68">
        <f t="shared" si="104"/>
        <v>12105</v>
      </c>
      <c r="U237" s="69">
        <f t="shared" si="100"/>
        <v>642.85714285714289</v>
      </c>
      <c r="V237" s="69">
        <f t="shared" si="113"/>
        <v>212</v>
      </c>
      <c r="W237" s="68">
        <v>0</v>
      </c>
      <c r="X237" s="68">
        <v>0</v>
      </c>
      <c r="Y237" s="68">
        <f t="shared" si="103"/>
        <v>854.85714285714289</v>
      </c>
      <c r="Z237" s="68">
        <f t="shared" si="107"/>
        <v>11250.142857142857</v>
      </c>
      <c r="AA237" s="68">
        <v>0</v>
      </c>
      <c r="AB237" s="68">
        <f t="shared" si="108"/>
        <v>11250.142857142857</v>
      </c>
      <c r="AC237" s="69">
        <f t="shared" si="101"/>
        <v>704.46428571428578</v>
      </c>
      <c r="AD237" s="69">
        <f t="shared" si="109"/>
        <v>575</v>
      </c>
      <c r="AE237" s="70">
        <f t="shared" si="110"/>
        <v>0</v>
      </c>
      <c r="AF237" s="71">
        <f t="shared" si="97"/>
        <v>1279.4642857142858</v>
      </c>
      <c r="AG237" s="71">
        <f t="shared" si="111"/>
        <v>13384.464285714286</v>
      </c>
    </row>
    <row r="238" spans="1:33" x14ac:dyDescent="0.2">
      <c r="A238" s="74" t="s">
        <v>1627</v>
      </c>
      <c r="B238" s="75" t="e">
        <f t="shared" si="112"/>
        <v>#REF!</v>
      </c>
      <c r="C238" s="75" t="s">
        <v>1492</v>
      </c>
      <c r="D238" s="97" t="s">
        <v>50</v>
      </c>
      <c r="E238" s="97" t="s">
        <v>237</v>
      </c>
      <c r="F238" s="76">
        <v>42967</v>
      </c>
      <c r="G238" s="133"/>
      <c r="H238" s="133"/>
      <c r="I238" s="75">
        <v>30</v>
      </c>
      <c r="J238" s="68">
        <f t="shared" si="105"/>
        <v>5357.1428571428578</v>
      </c>
      <c r="K238" s="68">
        <f t="shared" si="106"/>
        <v>0</v>
      </c>
      <c r="L238" s="68">
        <f t="shared" si="99"/>
        <v>267.85714285714289</v>
      </c>
      <c r="M238" s="68"/>
      <c r="N238" s="68">
        <f t="shared" si="102"/>
        <v>857.14285714285722</v>
      </c>
      <c r="O238" s="68"/>
      <c r="P238" s="68">
        <f>((5248)/I$3)*I238</f>
        <v>5622.8571428571422</v>
      </c>
      <c r="Q238" s="68"/>
      <c r="R238" s="68">
        <v>0</v>
      </c>
      <c r="S238" s="68">
        <v>0</v>
      </c>
      <c r="T238" s="68">
        <f t="shared" si="104"/>
        <v>12105</v>
      </c>
      <c r="U238" s="69">
        <f t="shared" si="100"/>
        <v>642.85714285714289</v>
      </c>
      <c r="V238" s="69">
        <f t="shared" si="113"/>
        <v>212</v>
      </c>
      <c r="W238" s="68">
        <v>0</v>
      </c>
      <c r="X238" s="68">
        <v>0</v>
      </c>
      <c r="Y238" s="68">
        <f t="shared" si="103"/>
        <v>854.85714285714289</v>
      </c>
      <c r="Z238" s="68">
        <f t="shared" si="107"/>
        <v>11250.142857142857</v>
      </c>
      <c r="AA238" s="68">
        <v>0</v>
      </c>
      <c r="AB238" s="68">
        <f t="shared" si="108"/>
        <v>11250.142857142857</v>
      </c>
      <c r="AC238" s="69">
        <f t="shared" si="101"/>
        <v>704.46428571428578</v>
      </c>
      <c r="AD238" s="69">
        <f t="shared" si="109"/>
        <v>575</v>
      </c>
      <c r="AE238" s="70">
        <f t="shared" si="110"/>
        <v>0</v>
      </c>
      <c r="AF238" s="71">
        <f t="shared" si="97"/>
        <v>1279.4642857142858</v>
      </c>
      <c r="AG238" s="71">
        <f t="shared" si="111"/>
        <v>13384.464285714286</v>
      </c>
    </row>
    <row r="239" spans="1:33" x14ac:dyDescent="0.2">
      <c r="A239" s="74" t="s">
        <v>1670</v>
      </c>
      <c r="B239" s="75" t="e">
        <f>#REF!+1</f>
        <v>#REF!</v>
      </c>
      <c r="C239" s="134" t="s">
        <v>1657</v>
      </c>
      <c r="D239" s="97" t="s">
        <v>50</v>
      </c>
      <c r="E239" s="97" t="s">
        <v>581</v>
      </c>
      <c r="F239" s="76">
        <v>42968</v>
      </c>
      <c r="G239" s="133"/>
      <c r="H239" s="133"/>
      <c r="I239" s="75">
        <v>29</v>
      </c>
      <c r="J239" s="68">
        <f t="shared" si="105"/>
        <v>5178.5714285714294</v>
      </c>
      <c r="K239" s="68">
        <f t="shared" si="106"/>
        <v>0</v>
      </c>
      <c r="L239" s="68">
        <f t="shared" si="99"/>
        <v>258.9285714285715</v>
      </c>
      <c r="M239" s="68"/>
      <c r="N239" s="68">
        <f t="shared" si="102"/>
        <v>828.57142857142867</v>
      </c>
      <c r="O239" s="68"/>
      <c r="P239" s="68">
        <f t="shared" ref="P239:P244" si="114">((5248-1018)/I$3)*I239</f>
        <v>4381.0714285714294</v>
      </c>
      <c r="Q239" s="68"/>
      <c r="R239" s="68">
        <v>0</v>
      </c>
      <c r="S239" s="68">
        <v>0</v>
      </c>
      <c r="T239" s="68">
        <f t="shared" si="104"/>
        <v>10647.142857142859</v>
      </c>
      <c r="U239" s="69">
        <f t="shared" si="100"/>
        <v>621.42857142857144</v>
      </c>
      <c r="V239" s="69">
        <f t="shared" si="113"/>
        <v>187</v>
      </c>
      <c r="W239" s="68">
        <v>0</v>
      </c>
      <c r="X239" s="68">
        <v>0</v>
      </c>
      <c r="Y239" s="68">
        <f t="shared" si="103"/>
        <v>808.42857142857144</v>
      </c>
      <c r="Z239" s="68">
        <f t="shared" si="107"/>
        <v>9838.7142857142881</v>
      </c>
      <c r="AA239" s="68">
        <v>0</v>
      </c>
      <c r="AB239" s="68">
        <f t="shared" si="108"/>
        <v>9838.7142857142881</v>
      </c>
      <c r="AC239" s="69">
        <f t="shared" si="101"/>
        <v>680.982142857143</v>
      </c>
      <c r="AD239" s="69">
        <f t="shared" si="109"/>
        <v>506</v>
      </c>
      <c r="AE239" s="70">
        <f t="shared" si="110"/>
        <v>0</v>
      </c>
      <c r="AF239" s="71">
        <f t="shared" si="97"/>
        <v>1186.9821428571431</v>
      </c>
      <c r="AG239" s="71">
        <f t="shared" si="111"/>
        <v>11834.125000000002</v>
      </c>
    </row>
    <row r="240" spans="1:33" x14ac:dyDescent="0.2">
      <c r="A240" s="74" t="s">
        <v>1671</v>
      </c>
      <c r="B240" s="75" t="e">
        <f t="shared" si="112"/>
        <v>#REF!</v>
      </c>
      <c r="C240" s="134" t="s">
        <v>1658</v>
      </c>
      <c r="D240" s="97" t="s">
        <v>50</v>
      </c>
      <c r="E240" s="97" t="s">
        <v>484</v>
      </c>
      <c r="F240" s="76">
        <v>42969</v>
      </c>
      <c r="G240" s="133"/>
      <c r="H240" s="133"/>
      <c r="I240" s="75">
        <v>30</v>
      </c>
      <c r="J240" s="68">
        <f t="shared" si="105"/>
        <v>5357.1428571428578</v>
      </c>
      <c r="K240" s="68">
        <f t="shared" si="106"/>
        <v>0</v>
      </c>
      <c r="L240" s="68">
        <f t="shared" si="99"/>
        <v>267.85714285714289</v>
      </c>
      <c r="M240" s="68"/>
      <c r="N240" s="68">
        <f t="shared" si="102"/>
        <v>857.14285714285722</v>
      </c>
      <c r="O240" s="68"/>
      <c r="P240" s="68">
        <f t="shared" si="114"/>
        <v>4532.1428571428578</v>
      </c>
      <c r="Q240" s="68"/>
      <c r="R240" s="68">
        <v>0</v>
      </c>
      <c r="S240" s="68">
        <v>0</v>
      </c>
      <c r="T240" s="68">
        <f t="shared" si="104"/>
        <v>11014.285714285716</v>
      </c>
      <c r="U240" s="69">
        <f t="shared" si="100"/>
        <v>642.85714285714289</v>
      </c>
      <c r="V240" s="69">
        <f t="shared" si="113"/>
        <v>193</v>
      </c>
      <c r="W240" s="68">
        <v>0</v>
      </c>
      <c r="X240" s="68">
        <v>0</v>
      </c>
      <c r="Y240" s="68">
        <f t="shared" si="103"/>
        <v>835.85714285714289</v>
      </c>
      <c r="Z240" s="68">
        <f t="shared" si="107"/>
        <v>10178.428571428572</v>
      </c>
      <c r="AA240" s="68">
        <v>0</v>
      </c>
      <c r="AB240" s="68">
        <f t="shared" si="108"/>
        <v>10178.428571428572</v>
      </c>
      <c r="AC240" s="69">
        <f t="shared" si="101"/>
        <v>704.46428571428578</v>
      </c>
      <c r="AD240" s="69">
        <f t="shared" si="109"/>
        <v>524</v>
      </c>
      <c r="AE240" s="70">
        <f t="shared" si="110"/>
        <v>0</v>
      </c>
      <c r="AF240" s="71">
        <f t="shared" si="97"/>
        <v>1228.4642857142858</v>
      </c>
      <c r="AG240" s="71">
        <f t="shared" si="111"/>
        <v>12242.750000000002</v>
      </c>
    </row>
    <row r="241" spans="1:33" x14ac:dyDescent="0.2">
      <c r="A241" s="74" t="s">
        <v>1672</v>
      </c>
      <c r="B241" s="75" t="e">
        <f t="shared" si="112"/>
        <v>#REF!</v>
      </c>
      <c r="C241" s="134" t="s">
        <v>1659</v>
      </c>
      <c r="D241" s="97" t="s">
        <v>50</v>
      </c>
      <c r="E241" s="97" t="s">
        <v>484</v>
      </c>
      <c r="F241" s="76">
        <v>42970</v>
      </c>
      <c r="G241" s="133"/>
      <c r="H241" s="133"/>
      <c r="I241" s="75">
        <v>28</v>
      </c>
      <c r="J241" s="68">
        <f t="shared" si="105"/>
        <v>5000</v>
      </c>
      <c r="K241" s="68">
        <f t="shared" si="106"/>
        <v>0</v>
      </c>
      <c r="L241" s="68">
        <f t="shared" si="99"/>
        <v>250</v>
      </c>
      <c r="M241" s="68"/>
      <c r="N241" s="68">
        <f t="shared" si="102"/>
        <v>800</v>
      </c>
      <c r="O241" s="68"/>
      <c r="P241" s="68">
        <f t="shared" si="114"/>
        <v>4230</v>
      </c>
      <c r="Q241" s="68"/>
      <c r="R241" s="68">
        <v>0</v>
      </c>
      <c r="S241" s="68">
        <v>0</v>
      </c>
      <c r="T241" s="68">
        <f t="shared" si="104"/>
        <v>10280</v>
      </c>
      <c r="U241" s="69">
        <f t="shared" si="100"/>
        <v>600</v>
      </c>
      <c r="V241" s="69">
        <f t="shared" si="113"/>
        <v>180</v>
      </c>
      <c r="W241" s="68">
        <v>0</v>
      </c>
      <c r="X241" s="68">
        <v>0</v>
      </c>
      <c r="Y241" s="68">
        <f t="shared" si="103"/>
        <v>780</v>
      </c>
      <c r="Z241" s="68">
        <f t="shared" si="107"/>
        <v>9500</v>
      </c>
      <c r="AA241" s="68">
        <v>0</v>
      </c>
      <c r="AB241" s="68">
        <f t="shared" si="108"/>
        <v>9500</v>
      </c>
      <c r="AC241" s="69">
        <f t="shared" si="101"/>
        <v>657.5</v>
      </c>
      <c r="AD241" s="69">
        <f t="shared" si="109"/>
        <v>489</v>
      </c>
      <c r="AE241" s="70">
        <f t="shared" si="110"/>
        <v>0</v>
      </c>
      <c r="AF241" s="71">
        <f t="shared" si="97"/>
        <v>1146.5</v>
      </c>
      <c r="AG241" s="71">
        <f t="shared" si="111"/>
        <v>11426.5</v>
      </c>
    </row>
    <row r="242" spans="1:33" x14ac:dyDescent="0.2">
      <c r="A242" s="74" t="s">
        <v>1673</v>
      </c>
      <c r="B242" s="75" t="e">
        <f t="shared" si="112"/>
        <v>#REF!</v>
      </c>
      <c r="C242" s="75" t="s">
        <v>1660</v>
      </c>
      <c r="D242" s="97" t="s">
        <v>50</v>
      </c>
      <c r="E242" s="97" t="s">
        <v>484</v>
      </c>
      <c r="F242" s="76">
        <v>42971</v>
      </c>
      <c r="G242" s="133"/>
      <c r="H242" s="133"/>
      <c r="I242" s="75">
        <v>29</v>
      </c>
      <c r="J242" s="68">
        <f t="shared" si="105"/>
        <v>5178.5714285714294</v>
      </c>
      <c r="K242" s="68">
        <f t="shared" si="106"/>
        <v>0</v>
      </c>
      <c r="L242" s="68">
        <f t="shared" si="99"/>
        <v>258.9285714285715</v>
      </c>
      <c r="M242" s="68"/>
      <c r="N242" s="68">
        <f t="shared" si="102"/>
        <v>828.57142857142867</v>
      </c>
      <c r="O242" s="68"/>
      <c r="P242" s="68">
        <f t="shared" si="114"/>
        <v>4381.0714285714294</v>
      </c>
      <c r="Q242" s="68"/>
      <c r="R242" s="68">
        <v>0</v>
      </c>
      <c r="S242" s="68">
        <v>0</v>
      </c>
      <c r="T242" s="68">
        <f t="shared" si="104"/>
        <v>10647.142857142859</v>
      </c>
      <c r="U242" s="69">
        <f t="shared" si="100"/>
        <v>621.42857142857144</v>
      </c>
      <c r="V242" s="69">
        <f t="shared" si="113"/>
        <v>187</v>
      </c>
      <c r="W242" s="68">
        <v>0</v>
      </c>
      <c r="X242" s="68">
        <v>0</v>
      </c>
      <c r="Y242" s="68">
        <f t="shared" si="103"/>
        <v>808.42857142857144</v>
      </c>
      <c r="Z242" s="68">
        <f t="shared" si="107"/>
        <v>9838.7142857142881</v>
      </c>
      <c r="AA242" s="68">
        <v>0</v>
      </c>
      <c r="AB242" s="68">
        <f t="shared" si="108"/>
        <v>9838.7142857142881</v>
      </c>
      <c r="AC242" s="69">
        <f t="shared" si="101"/>
        <v>680.982142857143</v>
      </c>
      <c r="AD242" s="69">
        <f t="shared" si="109"/>
        <v>506</v>
      </c>
      <c r="AE242" s="70">
        <f t="shared" si="110"/>
        <v>0</v>
      </c>
      <c r="AF242" s="71">
        <f t="shared" si="97"/>
        <v>1186.9821428571431</v>
      </c>
      <c r="AG242" s="71">
        <f t="shared" si="111"/>
        <v>11834.125000000002</v>
      </c>
    </row>
    <row r="243" spans="1:33" x14ac:dyDescent="0.2">
      <c r="A243" s="74" t="s">
        <v>1674</v>
      </c>
      <c r="B243" s="75" t="e">
        <f t="shared" si="112"/>
        <v>#REF!</v>
      </c>
      <c r="C243" s="75" t="s">
        <v>1661</v>
      </c>
      <c r="D243" s="97" t="s">
        <v>50</v>
      </c>
      <c r="E243" s="97" t="s">
        <v>484</v>
      </c>
      <c r="F243" s="76">
        <v>42972</v>
      </c>
      <c r="G243" s="133"/>
      <c r="H243" s="133"/>
      <c r="I243" s="75">
        <v>30</v>
      </c>
      <c r="J243" s="68">
        <f t="shared" si="105"/>
        <v>5357.1428571428578</v>
      </c>
      <c r="K243" s="68">
        <f t="shared" si="106"/>
        <v>0</v>
      </c>
      <c r="L243" s="68">
        <f t="shared" si="99"/>
        <v>267.85714285714289</v>
      </c>
      <c r="M243" s="68"/>
      <c r="N243" s="68">
        <f t="shared" si="102"/>
        <v>857.14285714285722</v>
      </c>
      <c r="O243" s="68"/>
      <c r="P243" s="68">
        <f t="shared" si="114"/>
        <v>4532.1428571428578</v>
      </c>
      <c r="Q243" s="68"/>
      <c r="R243" s="68">
        <v>0</v>
      </c>
      <c r="S243" s="68">
        <v>0</v>
      </c>
      <c r="T243" s="68">
        <f t="shared" si="104"/>
        <v>11014.285714285716</v>
      </c>
      <c r="U243" s="69">
        <f t="shared" si="100"/>
        <v>642.85714285714289</v>
      </c>
      <c r="V243" s="69">
        <f t="shared" si="113"/>
        <v>193</v>
      </c>
      <c r="W243" s="68">
        <v>0</v>
      </c>
      <c r="X243" s="68">
        <v>0</v>
      </c>
      <c r="Y243" s="68">
        <f t="shared" si="103"/>
        <v>835.85714285714289</v>
      </c>
      <c r="Z243" s="68">
        <f t="shared" si="107"/>
        <v>10178.428571428572</v>
      </c>
      <c r="AA243" s="68">
        <v>0</v>
      </c>
      <c r="AB243" s="68">
        <f t="shared" si="108"/>
        <v>10178.428571428572</v>
      </c>
      <c r="AC243" s="69">
        <f t="shared" si="101"/>
        <v>704.46428571428578</v>
      </c>
      <c r="AD243" s="69">
        <f t="shared" si="109"/>
        <v>524</v>
      </c>
      <c r="AE243" s="70">
        <f t="shared" si="110"/>
        <v>0</v>
      </c>
      <c r="AF243" s="71">
        <f t="shared" si="97"/>
        <v>1228.4642857142858</v>
      </c>
      <c r="AG243" s="71">
        <f t="shared" si="111"/>
        <v>12242.750000000002</v>
      </c>
    </row>
    <row r="244" spans="1:33" x14ac:dyDescent="0.2">
      <c r="A244" s="74" t="s">
        <v>1675</v>
      </c>
      <c r="B244" s="75" t="e">
        <f t="shared" si="112"/>
        <v>#REF!</v>
      </c>
      <c r="C244" s="75" t="s">
        <v>703</v>
      </c>
      <c r="D244" s="97" t="s">
        <v>50</v>
      </c>
      <c r="E244" s="97" t="s">
        <v>484</v>
      </c>
      <c r="F244" s="76">
        <v>42973</v>
      </c>
      <c r="G244" s="133"/>
      <c r="H244" s="133"/>
      <c r="I244" s="75">
        <v>26</v>
      </c>
      <c r="J244" s="68">
        <f t="shared" si="105"/>
        <v>4642.8571428571431</v>
      </c>
      <c r="K244" s="68">
        <f t="shared" si="106"/>
        <v>0</v>
      </c>
      <c r="L244" s="68">
        <f t="shared" si="99"/>
        <v>232.14285714285717</v>
      </c>
      <c r="M244" s="68"/>
      <c r="N244" s="68">
        <f t="shared" si="102"/>
        <v>742.85714285714289</v>
      </c>
      <c r="O244" s="68"/>
      <c r="P244" s="68">
        <f t="shared" si="114"/>
        <v>3927.8571428571431</v>
      </c>
      <c r="Q244" s="68"/>
      <c r="R244" s="68">
        <v>0</v>
      </c>
      <c r="S244" s="68">
        <v>0</v>
      </c>
      <c r="T244" s="68">
        <f t="shared" si="104"/>
        <v>9545.7142857142862</v>
      </c>
      <c r="U244" s="69">
        <f t="shared" si="100"/>
        <v>557.14285714285711</v>
      </c>
      <c r="V244" s="69">
        <f t="shared" si="113"/>
        <v>168</v>
      </c>
      <c r="W244" s="68">
        <v>0</v>
      </c>
      <c r="X244" s="68">
        <v>0</v>
      </c>
      <c r="Y244" s="68">
        <f t="shared" si="103"/>
        <v>725.14285714285711</v>
      </c>
      <c r="Z244" s="68">
        <f t="shared" si="107"/>
        <v>8820.5714285714294</v>
      </c>
      <c r="AA244" s="68">
        <v>0</v>
      </c>
      <c r="AB244" s="68">
        <f t="shared" si="108"/>
        <v>8820.5714285714294</v>
      </c>
      <c r="AC244" s="69">
        <f t="shared" si="101"/>
        <v>610.53571428571433</v>
      </c>
      <c r="AD244" s="69">
        <f t="shared" si="109"/>
        <v>454</v>
      </c>
      <c r="AE244" s="70">
        <f t="shared" si="110"/>
        <v>0</v>
      </c>
      <c r="AF244" s="71">
        <f t="shared" si="97"/>
        <v>1064.5357142857142</v>
      </c>
      <c r="AG244" s="71">
        <f t="shared" si="111"/>
        <v>10610.25</v>
      </c>
    </row>
    <row r="245" spans="1:33" x14ac:dyDescent="0.2">
      <c r="A245" s="74" t="s">
        <v>1676</v>
      </c>
      <c r="B245" s="75" t="e">
        <f t="shared" si="112"/>
        <v>#REF!</v>
      </c>
      <c r="C245" s="75" t="s">
        <v>1662</v>
      </c>
      <c r="D245" s="97" t="s">
        <v>50</v>
      </c>
      <c r="E245" s="97" t="s">
        <v>238</v>
      </c>
      <c r="F245" s="76">
        <v>42974</v>
      </c>
      <c r="G245" s="133"/>
      <c r="H245" s="133"/>
      <c r="I245" s="75">
        <v>26</v>
      </c>
      <c r="J245" s="68">
        <f t="shared" si="105"/>
        <v>4642.8571428571431</v>
      </c>
      <c r="K245" s="68">
        <f t="shared" si="106"/>
        <v>0</v>
      </c>
      <c r="L245" s="68">
        <f t="shared" si="99"/>
        <v>232.14285714285717</v>
      </c>
      <c r="M245" s="68"/>
      <c r="N245" s="68">
        <f t="shared" si="102"/>
        <v>742.85714285714289</v>
      </c>
      <c r="O245" s="68"/>
      <c r="P245" s="68">
        <f>((5248)/I$3)*I245</f>
        <v>4873.1428571428569</v>
      </c>
      <c r="Q245" s="68"/>
      <c r="R245" s="68">
        <v>0</v>
      </c>
      <c r="S245" s="68">
        <v>0</v>
      </c>
      <c r="T245" s="68">
        <f t="shared" si="104"/>
        <v>10491</v>
      </c>
      <c r="U245" s="69">
        <f t="shared" si="100"/>
        <v>557.14285714285711</v>
      </c>
      <c r="V245" s="69">
        <f t="shared" si="113"/>
        <v>184</v>
      </c>
      <c r="W245" s="68">
        <v>0</v>
      </c>
      <c r="X245" s="68">
        <v>0</v>
      </c>
      <c r="Y245" s="68">
        <f t="shared" si="103"/>
        <v>741.14285714285711</v>
      </c>
      <c r="Z245" s="68">
        <f t="shared" si="107"/>
        <v>9749.8571428571431</v>
      </c>
      <c r="AA245" s="68">
        <v>0</v>
      </c>
      <c r="AB245" s="68">
        <f t="shared" si="108"/>
        <v>9749.8571428571431</v>
      </c>
      <c r="AC245" s="69">
        <f t="shared" si="101"/>
        <v>610.53571428571433</v>
      </c>
      <c r="AD245" s="69">
        <f t="shared" si="109"/>
        <v>499</v>
      </c>
      <c r="AE245" s="70">
        <f t="shared" si="110"/>
        <v>0</v>
      </c>
      <c r="AF245" s="71">
        <f t="shared" si="97"/>
        <v>1109.5357142857142</v>
      </c>
      <c r="AG245" s="71">
        <f t="shared" si="111"/>
        <v>11600.535714285714</v>
      </c>
    </row>
    <row r="246" spans="1:33" x14ac:dyDescent="0.2">
      <c r="A246" s="74" t="s">
        <v>1677</v>
      </c>
      <c r="B246" s="75" t="e">
        <f t="shared" si="112"/>
        <v>#REF!</v>
      </c>
      <c r="C246" s="75" t="s">
        <v>1663</v>
      </c>
      <c r="D246" s="97" t="s">
        <v>50</v>
      </c>
      <c r="E246" s="97" t="s">
        <v>1664</v>
      </c>
      <c r="F246" s="76">
        <v>42975</v>
      </c>
      <c r="G246" s="133"/>
      <c r="H246" s="133"/>
      <c r="I246" s="75">
        <v>31</v>
      </c>
      <c r="J246" s="68">
        <f t="shared" si="105"/>
        <v>5535.7142857142862</v>
      </c>
      <c r="K246" s="68">
        <f t="shared" si="106"/>
        <v>0</v>
      </c>
      <c r="L246" s="68">
        <f t="shared" si="99"/>
        <v>276.78571428571433</v>
      </c>
      <c r="M246" s="68"/>
      <c r="N246" s="68">
        <f t="shared" si="102"/>
        <v>885.71428571428578</v>
      </c>
      <c r="O246" s="68"/>
      <c r="P246" s="68">
        <f>((5248)/I$3)*I246</f>
        <v>5810.2857142857138</v>
      </c>
      <c r="Q246" s="68"/>
      <c r="R246" s="68">
        <v>0</v>
      </c>
      <c r="S246" s="68">
        <v>0</v>
      </c>
      <c r="T246" s="68">
        <f t="shared" si="104"/>
        <v>12508.5</v>
      </c>
      <c r="U246" s="69">
        <f t="shared" si="100"/>
        <v>664.28571428571433</v>
      </c>
      <c r="V246" s="69">
        <f t="shared" si="113"/>
        <v>219</v>
      </c>
      <c r="W246" s="68">
        <v>0</v>
      </c>
      <c r="X246" s="68">
        <v>0</v>
      </c>
      <c r="Y246" s="68">
        <f t="shared" si="103"/>
        <v>883.28571428571433</v>
      </c>
      <c r="Z246" s="68">
        <f t="shared" si="107"/>
        <v>11625.214285714286</v>
      </c>
      <c r="AA246" s="68">
        <v>0</v>
      </c>
      <c r="AB246" s="68">
        <f t="shared" si="108"/>
        <v>11625.214285714286</v>
      </c>
      <c r="AC246" s="69">
        <f t="shared" si="101"/>
        <v>727.94642857142867</v>
      </c>
      <c r="AD246" s="69">
        <f t="shared" si="109"/>
        <v>595</v>
      </c>
      <c r="AE246" s="70">
        <f t="shared" si="110"/>
        <v>0</v>
      </c>
      <c r="AF246" s="71">
        <f t="shared" si="97"/>
        <v>1322.9464285714287</v>
      </c>
      <c r="AG246" s="71">
        <f t="shared" si="111"/>
        <v>13831.446428571429</v>
      </c>
    </row>
    <row r="247" spans="1:33" x14ac:dyDescent="0.2">
      <c r="A247" s="74" t="s">
        <v>1678</v>
      </c>
      <c r="B247" s="75" t="e">
        <f t="shared" si="112"/>
        <v>#REF!</v>
      </c>
      <c r="C247" s="75" t="s">
        <v>1665</v>
      </c>
      <c r="D247" s="97" t="s">
        <v>50</v>
      </c>
      <c r="E247" s="97" t="s">
        <v>1664</v>
      </c>
      <c r="F247" s="76">
        <v>42976</v>
      </c>
      <c r="G247" s="133"/>
      <c r="H247" s="133"/>
      <c r="I247" s="75">
        <v>10</v>
      </c>
      <c r="J247" s="68">
        <f t="shared" si="105"/>
        <v>1785.7142857142858</v>
      </c>
      <c r="K247" s="68">
        <f t="shared" si="106"/>
        <v>0</v>
      </c>
      <c r="L247" s="68">
        <f t="shared" si="99"/>
        <v>89.285714285714292</v>
      </c>
      <c r="M247" s="68"/>
      <c r="N247" s="68">
        <f t="shared" si="102"/>
        <v>285.71428571428572</v>
      </c>
      <c r="O247" s="68"/>
      <c r="P247" s="68">
        <f>((5248)/I$3)*I247</f>
        <v>1874.2857142857142</v>
      </c>
      <c r="Q247" s="68"/>
      <c r="R247" s="68">
        <v>0</v>
      </c>
      <c r="S247" s="68">
        <v>0</v>
      </c>
      <c r="T247" s="68">
        <f t="shared" si="104"/>
        <v>4035</v>
      </c>
      <c r="U247" s="69">
        <f t="shared" si="100"/>
        <v>214.28571428571428</v>
      </c>
      <c r="V247" s="69">
        <f t="shared" si="113"/>
        <v>71</v>
      </c>
      <c r="W247" s="68">
        <v>0</v>
      </c>
      <c r="X247" s="68">
        <v>0</v>
      </c>
      <c r="Y247" s="68">
        <f t="shared" si="103"/>
        <v>285.28571428571428</v>
      </c>
      <c r="Z247" s="68">
        <f t="shared" si="107"/>
        <v>3749.7142857142858</v>
      </c>
      <c r="AA247" s="68">
        <v>0</v>
      </c>
      <c r="AB247" s="68">
        <f t="shared" si="108"/>
        <v>3749.7142857142858</v>
      </c>
      <c r="AC247" s="69">
        <f t="shared" si="101"/>
        <v>234.82142857142858</v>
      </c>
      <c r="AD247" s="69">
        <f t="shared" si="109"/>
        <v>192</v>
      </c>
      <c r="AE247" s="70">
        <f t="shared" si="110"/>
        <v>0</v>
      </c>
      <c r="AF247" s="71">
        <f t="shared" si="97"/>
        <v>426.82142857142856</v>
      </c>
      <c r="AG247" s="71">
        <f t="shared" si="111"/>
        <v>4461.8214285714284</v>
      </c>
    </row>
    <row r="248" spans="1:33" x14ac:dyDescent="0.2">
      <c r="A248" s="74" t="s">
        <v>1679</v>
      </c>
      <c r="B248" s="75" t="e">
        <f t="shared" si="112"/>
        <v>#REF!</v>
      </c>
      <c r="C248" s="75" t="s">
        <v>1666</v>
      </c>
      <c r="D248" s="97" t="s">
        <v>50</v>
      </c>
      <c r="E248" s="97" t="s">
        <v>237</v>
      </c>
      <c r="F248" s="76">
        <v>42977</v>
      </c>
      <c r="G248" s="133"/>
      <c r="H248" s="133"/>
      <c r="I248" s="75">
        <v>9</v>
      </c>
      <c r="J248" s="68">
        <f t="shared" si="105"/>
        <v>1607.1428571428573</v>
      </c>
      <c r="K248" s="68">
        <f t="shared" si="106"/>
        <v>0</v>
      </c>
      <c r="L248" s="68">
        <f t="shared" si="99"/>
        <v>80.357142857142875</v>
      </c>
      <c r="M248" s="68"/>
      <c r="N248" s="68">
        <f t="shared" si="102"/>
        <v>257.14285714285717</v>
      </c>
      <c r="O248" s="68"/>
      <c r="P248" s="68">
        <f>((5248)/I$3)*I248</f>
        <v>1686.8571428571427</v>
      </c>
      <c r="Q248" s="68"/>
      <c r="R248" s="68">
        <v>0</v>
      </c>
      <c r="S248" s="68">
        <v>0</v>
      </c>
      <c r="T248" s="68">
        <f t="shared" si="104"/>
        <v>3631.5</v>
      </c>
      <c r="U248" s="69">
        <f t="shared" si="100"/>
        <v>192.85714285714286</v>
      </c>
      <c r="V248" s="69">
        <f t="shared" si="113"/>
        <v>64</v>
      </c>
      <c r="W248" s="68">
        <v>0</v>
      </c>
      <c r="X248" s="68">
        <v>0</v>
      </c>
      <c r="Y248" s="68">
        <f t="shared" si="103"/>
        <v>256.85714285714289</v>
      </c>
      <c r="Z248" s="68">
        <f t="shared" si="107"/>
        <v>3374.6428571428569</v>
      </c>
      <c r="AA248" s="68">
        <v>0</v>
      </c>
      <c r="AB248" s="68">
        <f t="shared" si="108"/>
        <v>3374.6428571428569</v>
      </c>
      <c r="AC248" s="69">
        <f t="shared" si="101"/>
        <v>211.33928571428575</v>
      </c>
      <c r="AD248" s="69">
        <f t="shared" si="109"/>
        <v>173</v>
      </c>
      <c r="AE248" s="70">
        <f t="shared" si="110"/>
        <v>0</v>
      </c>
      <c r="AF248" s="71">
        <f t="shared" si="97"/>
        <v>384.33928571428578</v>
      </c>
      <c r="AG248" s="71">
        <f t="shared" si="111"/>
        <v>4015.8392857142858</v>
      </c>
    </row>
    <row r="249" spans="1:33" x14ac:dyDescent="0.2">
      <c r="A249" s="74" t="s">
        <v>1680</v>
      </c>
      <c r="B249" s="75" t="e">
        <f t="shared" si="112"/>
        <v>#REF!</v>
      </c>
      <c r="C249" s="75" t="s">
        <v>1667</v>
      </c>
      <c r="D249" s="97" t="s">
        <v>50</v>
      </c>
      <c r="E249" s="97" t="s">
        <v>241</v>
      </c>
      <c r="F249" s="76">
        <v>42978</v>
      </c>
      <c r="G249" s="133"/>
      <c r="H249" s="133"/>
      <c r="I249" s="75">
        <v>30</v>
      </c>
      <c r="J249" s="68">
        <f t="shared" si="105"/>
        <v>5357.1428571428578</v>
      </c>
      <c r="K249" s="68">
        <f t="shared" si="106"/>
        <v>0</v>
      </c>
      <c r="L249" s="68">
        <f t="shared" si="99"/>
        <v>267.85714285714289</v>
      </c>
      <c r="M249" s="68"/>
      <c r="N249" s="68">
        <f t="shared" si="102"/>
        <v>857.14285714285722</v>
      </c>
      <c r="O249" s="68"/>
      <c r="P249" s="68">
        <f>((5248-1018)/I$3)*I249</f>
        <v>4532.1428571428578</v>
      </c>
      <c r="Q249" s="68"/>
      <c r="R249" s="68">
        <v>0</v>
      </c>
      <c r="S249" s="68">
        <v>0</v>
      </c>
      <c r="T249" s="68">
        <f t="shared" si="104"/>
        <v>11014.285714285716</v>
      </c>
      <c r="U249" s="69">
        <f t="shared" si="100"/>
        <v>642.85714285714289</v>
      </c>
      <c r="V249" s="69">
        <f t="shared" si="113"/>
        <v>193</v>
      </c>
      <c r="W249" s="68">
        <v>0</v>
      </c>
      <c r="X249" s="68">
        <v>0</v>
      </c>
      <c r="Y249" s="68">
        <f t="shared" si="103"/>
        <v>835.85714285714289</v>
      </c>
      <c r="Z249" s="68">
        <f t="shared" si="107"/>
        <v>10178.428571428572</v>
      </c>
      <c r="AA249" s="68">
        <v>0</v>
      </c>
      <c r="AB249" s="68">
        <f t="shared" si="108"/>
        <v>10178.428571428572</v>
      </c>
      <c r="AC249" s="69">
        <f t="shared" si="101"/>
        <v>704.46428571428578</v>
      </c>
      <c r="AD249" s="69">
        <f t="shared" si="109"/>
        <v>524</v>
      </c>
      <c r="AE249" s="70">
        <f t="shared" si="110"/>
        <v>0</v>
      </c>
      <c r="AF249" s="71">
        <f t="shared" si="97"/>
        <v>1228.4642857142858</v>
      </c>
      <c r="AG249" s="71">
        <f t="shared" si="111"/>
        <v>12242.750000000002</v>
      </c>
    </row>
    <row r="250" spans="1:33" x14ac:dyDescent="0.2">
      <c r="A250" s="74" t="s">
        <v>1719</v>
      </c>
      <c r="B250" s="75" t="e">
        <f t="shared" si="112"/>
        <v>#REF!</v>
      </c>
      <c r="C250" s="134" t="s">
        <v>1707</v>
      </c>
      <c r="D250" s="97" t="s">
        <v>50</v>
      </c>
      <c r="E250" s="97" t="s">
        <v>581</v>
      </c>
      <c r="F250" s="76">
        <v>42979</v>
      </c>
      <c r="G250" s="133"/>
      <c r="H250" s="133"/>
      <c r="I250" s="75">
        <v>29</v>
      </c>
      <c r="J250" s="68">
        <f t="shared" si="105"/>
        <v>5178.5714285714294</v>
      </c>
      <c r="K250" s="68">
        <f t="shared" si="106"/>
        <v>0</v>
      </c>
      <c r="L250" s="68">
        <f t="shared" si="99"/>
        <v>258.9285714285715</v>
      </c>
      <c r="M250" s="68"/>
      <c r="N250" s="68">
        <f t="shared" si="102"/>
        <v>828.57142857142867</v>
      </c>
      <c r="O250" s="68"/>
      <c r="P250" s="68">
        <f>((6248+527)/I$3)*I250</f>
        <v>7016.9642857142862</v>
      </c>
      <c r="Q250" s="68">
        <v>0</v>
      </c>
      <c r="R250" s="68">
        <v>0</v>
      </c>
      <c r="S250" s="68">
        <v>0</v>
      </c>
      <c r="T250" s="68">
        <f t="shared" si="104"/>
        <v>13283.035714285716</v>
      </c>
      <c r="U250" s="69">
        <f t="shared" si="100"/>
        <v>621.42857142857144</v>
      </c>
      <c r="V250" s="69">
        <f t="shared" si="113"/>
        <v>233</v>
      </c>
      <c r="W250" s="68">
        <v>0</v>
      </c>
      <c r="X250" s="68">
        <v>0</v>
      </c>
      <c r="Y250" s="68">
        <f t="shared" ref="Y250:Y257" si="115">SUM(U250:X250)</f>
        <v>854.42857142857144</v>
      </c>
      <c r="Z250" s="68">
        <f t="shared" si="107"/>
        <v>12428.607142857145</v>
      </c>
      <c r="AA250" s="68">
        <v>0</v>
      </c>
      <c r="AB250" s="68">
        <f t="shared" si="108"/>
        <v>12428.607142857145</v>
      </c>
      <c r="AC250" s="69">
        <f t="shared" si="101"/>
        <v>680.982142857143</v>
      </c>
      <c r="AD250" s="69">
        <f t="shared" si="109"/>
        <v>631</v>
      </c>
      <c r="AE250" s="70">
        <f t="shared" si="110"/>
        <v>0</v>
      </c>
      <c r="AF250" s="71">
        <f t="shared" ref="AF250:AF257" si="116">SUM(AC250:AE250)</f>
        <v>1311.9821428571431</v>
      </c>
      <c r="AG250" s="71">
        <f t="shared" si="111"/>
        <v>14595.017857142859</v>
      </c>
    </row>
    <row r="251" spans="1:33" x14ac:dyDescent="0.2">
      <c r="A251" s="74" t="s">
        <v>1715</v>
      </c>
      <c r="B251" s="75" t="e">
        <f t="shared" si="112"/>
        <v>#REF!</v>
      </c>
      <c r="C251" s="134" t="s">
        <v>1708</v>
      </c>
      <c r="D251" s="97" t="s">
        <v>50</v>
      </c>
      <c r="E251" s="97" t="s">
        <v>581</v>
      </c>
      <c r="F251" s="76">
        <v>42980</v>
      </c>
      <c r="G251" s="133"/>
      <c r="H251" s="133"/>
      <c r="I251" s="75">
        <v>22</v>
      </c>
      <c r="J251" s="68">
        <f t="shared" si="105"/>
        <v>3928.5714285714289</v>
      </c>
      <c r="K251" s="68">
        <f t="shared" si="106"/>
        <v>0</v>
      </c>
      <c r="L251" s="68">
        <f t="shared" si="99"/>
        <v>196.42857142857144</v>
      </c>
      <c r="M251" s="68"/>
      <c r="N251" s="68">
        <f t="shared" si="102"/>
        <v>628.57142857142856</v>
      </c>
      <c r="O251" s="68"/>
      <c r="P251" s="68">
        <f>((6248+527)/I$3)*I251</f>
        <v>5323.2142857142862</v>
      </c>
      <c r="Q251" s="68">
        <v>0</v>
      </c>
      <c r="R251" s="68">
        <v>0</v>
      </c>
      <c r="S251" s="68">
        <v>0</v>
      </c>
      <c r="T251" s="68">
        <f t="shared" si="104"/>
        <v>10076.785714285714</v>
      </c>
      <c r="U251" s="69">
        <f t="shared" si="100"/>
        <v>471.42857142857144</v>
      </c>
      <c r="V251" s="69">
        <f t="shared" si="113"/>
        <v>177</v>
      </c>
      <c r="W251" s="68">
        <v>0</v>
      </c>
      <c r="X251" s="68">
        <v>0</v>
      </c>
      <c r="Y251" s="68">
        <f t="shared" si="115"/>
        <v>648.42857142857144</v>
      </c>
      <c r="Z251" s="68">
        <f t="shared" si="107"/>
        <v>9428.3571428571431</v>
      </c>
      <c r="AA251" s="68">
        <v>0</v>
      </c>
      <c r="AB251" s="68">
        <f t="shared" si="108"/>
        <v>9428.3571428571431</v>
      </c>
      <c r="AC251" s="69">
        <f t="shared" si="101"/>
        <v>516.60714285714289</v>
      </c>
      <c r="AD251" s="69">
        <f t="shared" si="109"/>
        <v>479</v>
      </c>
      <c r="AE251" s="70">
        <f t="shared" si="110"/>
        <v>0</v>
      </c>
      <c r="AF251" s="71">
        <f t="shared" si="116"/>
        <v>995.60714285714289</v>
      </c>
      <c r="AG251" s="71">
        <f t="shared" si="111"/>
        <v>11072.392857142857</v>
      </c>
    </row>
    <row r="252" spans="1:33" x14ac:dyDescent="0.2">
      <c r="A252" s="74" t="s">
        <v>1720</v>
      </c>
      <c r="B252" s="75" t="e">
        <f t="shared" si="112"/>
        <v>#REF!</v>
      </c>
      <c r="C252" s="134" t="s">
        <v>1709</v>
      </c>
      <c r="D252" s="97" t="s">
        <v>50</v>
      </c>
      <c r="E252" s="97" t="s">
        <v>1451</v>
      </c>
      <c r="F252" s="76">
        <v>42981</v>
      </c>
      <c r="G252" s="133"/>
      <c r="H252" s="133"/>
      <c r="I252" s="75">
        <v>21</v>
      </c>
      <c r="J252" s="68">
        <f t="shared" si="105"/>
        <v>3750.0000000000005</v>
      </c>
      <c r="K252" s="68">
        <f t="shared" si="106"/>
        <v>0</v>
      </c>
      <c r="L252" s="68">
        <f t="shared" si="99"/>
        <v>187.50000000000003</v>
      </c>
      <c r="M252" s="68"/>
      <c r="N252" s="68">
        <f t="shared" si="102"/>
        <v>600</v>
      </c>
      <c r="O252" s="68"/>
      <c r="P252" s="68">
        <f>((6248+527)/I$3)*I252</f>
        <v>5081.25</v>
      </c>
      <c r="Q252" s="68">
        <v>0</v>
      </c>
      <c r="R252" s="68">
        <v>0</v>
      </c>
      <c r="S252" s="68">
        <v>0</v>
      </c>
      <c r="T252" s="68">
        <f t="shared" si="104"/>
        <v>9618.75</v>
      </c>
      <c r="U252" s="69">
        <f t="shared" si="100"/>
        <v>450.00000000000006</v>
      </c>
      <c r="V252" s="69">
        <f t="shared" si="113"/>
        <v>169</v>
      </c>
      <c r="W252" s="68">
        <v>0</v>
      </c>
      <c r="X252" s="68">
        <v>0</v>
      </c>
      <c r="Y252" s="68">
        <f t="shared" si="115"/>
        <v>619</v>
      </c>
      <c r="Z252" s="68">
        <f t="shared" si="107"/>
        <v>8999.75</v>
      </c>
      <c r="AA252" s="68">
        <v>0</v>
      </c>
      <c r="AB252" s="68">
        <f t="shared" si="108"/>
        <v>8999.75</v>
      </c>
      <c r="AC252" s="69">
        <f t="shared" si="101"/>
        <v>493.12500000000006</v>
      </c>
      <c r="AD252" s="69">
        <f t="shared" si="109"/>
        <v>457</v>
      </c>
      <c r="AE252" s="70">
        <f t="shared" si="110"/>
        <v>0</v>
      </c>
      <c r="AF252" s="71">
        <f t="shared" si="116"/>
        <v>950.125</v>
      </c>
      <c r="AG252" s="71">
        <f t="shared" si="111"/>
        <v>10568.875</v>
      </c>
    </row>
    <row r="253" spans="1:33" x14ac:dyDescent="0.2">
      <c r="A253" s="74" t="s">
        <v>1716</v>
      </c>
      <c r="B253" s="75" t="e">
        <f t="shared" si="112"/>
        <v>#REF!</v>
      </c>
      <c r="C253" s="75" t="s">
        <v>1710</v>
      </c>
      <c r="D253" s="97" t="s">
        <v>50</v>
      </c>
      <c r="E253" s="97" t="s">
        <v>1452</v>
      </c>
      <c r="F253" s="76">
        <v>42982</v>
      </c>
      <c r="G253" s="133"/>
      <c r="H253" s="133"/>
      <c r="I253" s="75">
        <v>8</v>
      </c>
      <c r="J253" s="68">
        <f t="shared" si="105"/>
        <v>1428.5714285714287</v>
      </c>
      <c r="K253" s="68">
        <f t="shared" si="106"/>
        <v>0</v>
      </c>
      <c r="L253" s="68">
        <f t="shared" si="99"/>
        <v>71.428571428571431</v>
      </c>
      <c r="M253" s="68"/>
      <c r="N253" s="68">
        <f t="shared" si="102"/>
        <v>228.57142857142858</v>
      </c>
      <c r="O253" s="68"/>
      <c r="P253" s="68">
        <f>((6248+527)/I$3)*I253</f>
        <v>1935.7142857142858</v>
      </c>
      <c r="Q253" s="68">
        <v>0</v>
      </c>
      <c r="R253" s="68">
        <v>0</v>
      </c>
      <c r="S253" s="68">
        <v>0</v>
      </c>
      <c r="T253" s="68">
        <f t="shared" si="104"/>
        <v>3664.2857142857147</v>
      </c>
      <c r="U253" s="69">
        <f t="shared" si="100"/>
        <v>171.42857142857144</v>
      </c>
      <c r="V253" s="69">
        <f t="shared" si="113"/>
        <v>65</v>
      </c>
      <c r="W253" s="68">
        <v>0</v>
      </c>
      <c r="X253" s="68">
        <v>0</v>
      </c>
      <c r="Y253" s="68">
        <f t="shared" si="115"/>
        <v>236.42857142857144</v>
      </c>
      <c r="Z253" s="68">
        <f t="shared" si="107"/>
        <v>3427.8571428571431</v>
      </c>
      <c r="AA253" s="68">
        <v>0</v>
      </c>
      <c r="AB253" s="68">
        <f t="shared" si="108"/>
        <v>3427.8571428571431</v>
      </c>
      <c r="AC253" s="69">
        <f t="shared" si="101"/>
        <v>187.85714285714289</v>
      </c>
      <c r="AD253" s="69">
        <f t="shared" si="109"/>
        <v>175</v>
      </c>
      <c r="AE253" s="70">
        <f t="shared" si="110"/>
        <v>0</v>
      </c>
      <c r="AF253" s="71">
        <f t="shared" si="116"/>
        <v>362.85714285714289</v>
      </c>
      <c r="AG253" s="71">
        <f t="shared" si="111"/>
        <v>4027.1428571428578</v>
      </c>
    </row>
    <row r="254" spans="1:33" x14ac:dyDescent="0.2">
      <c r="A254" s="74" t="s">
        <v>219</v>
      </c>
      <c r="B254" s="75" t="e">
        <f t="shared" si="112"/>
        <v>#REF!</v>
      </c>
      <c r="C254" s="75" t="s">
        <v>1711</v>
      </c>
      <c r="D254" s="97" t="s">
        <v>50</v>
      </c>
      <c r="E254" s="97" t="s">
        <v>234</v>
      </c>
      <c r="F254" s="76">
        <v>42983</v>
      </c>
      <c r="G254" s="133"/>
      <c r="H254" s="133"/>
      <c r="I254" s="75">
        <v>15.5</v>
      </c>
      <c r="J254" s="68">
        <f t="shared" si="105"/>
        <v>2767.8571428571431</v>
      </c>
      <c r="K254" s="68">
        <f t="shared" si="106"/>
        <v>0</v>
      </c>
      <c r="L254" s="68">
        <f t="shared" si="99"/>
        <v>138.39285714285717</v>
      </c>
      <c r="M254" s="68"/>
      <c r="N254" s="68">
        <f t="shared" si="102"/>
        <v>442.85714285714289</v>
      </c>
      <c r="O254" s="68"/>
      <c r="P254" s="68">
        <f>((6317)/I$3)*I254</f>
        <v>3496.9107142857142</v>
      </c>
      <c r="Q254" s="68">
        <v>0</v>
      </c>
      <c r="R254" s="68">
        <v>0</v>
      </c>
      <c r="S254" s="68">
        <v>0</v>
      </c>
      <c r="T254" s="68">
        <f t="shared" si="104"/>
        <v>6846.0178571428569</v>
      </c>
      <c r="U254" s="69">
        <f t="shared" si="100"/>
        <v>332.14285714285717</v>
      </c>
      <c r="V254" s="69">
        <f t="shared" si="113"/>
        <v>120</v>
      </c>
      <c r="W254" s="68">
        <v>0</v>
      </c>
      <c r="X254" s="68">
        <v>0</v>
      </c>
      <c r="Y254" s="68">
        <f t="shared" si="115"/>
        <v>452.14285714285717</v>
      </c>
      <c r="Z254" s="68">
        <f t="shared" si="107"/>
        <v>6393.875</v>
      </c>
      <c r="AA254" s="68">
        <v>0</v>
      </c>
      <c r="AB254" s="68">
        <f t="shared" si="108"/>
        <v>6393.875</v>
      </c>
      <c r="AC254" s="69">
        <f t="shared" si="101"/>
        <v>363.97321428571433</v>
      </c>
      <c r="AD254" s="69">
        <f t="shared" si="109"/>
        <v>326</v>
      </c>
      <c r="AE254" s="70">
        <f t="shared" si="110"/>
        <v>0</v>
      </c>
      <c r="AF254" s="71">
        <f t="shared" si="116"/>
        <v>689.97321428571433</v>
      </c>
      <c r="AG254" s="71">
        <f t="shared" si="111"/>
        <v>7535.9910714285716</v>
      </c>
    </row>
    <row r="255" spans="1:33" x14ac:dyDescent="0.2">
      <c r="A255" s="74" t="s">
        <v>1717</v>
      </c>
      <c r="B255" s="75" t="e">
        <f t="shared" si="112"/>
        <v>#REF!</v>
      </c>
      <c r="C255" s="75" t="s">
        <v>374</v>
      </c>
      <c r="D255" s="97" t="s">
        <v>50</v>
      </c>
      <c r="E255" s="97" t="s">
        <v>234</v>
      </c>
      <c r="F255" s="76">
        <v>42984</v>
      </c>
      <c r="G255" s="133"/>
      <c r="H255" s="133"/>
      <c r="I255" s="75">
        <v>9</v>
      </c>
      <c r="J255" s="68">
        <f t="shared" si="105"/>
        <v>1607.1428571428573</v>
      </c>
      <c r="K255" s="68">
        <f t="shared" si="106"/>
        <v>0</v>
      </c>
      <c r="L255" s="68">
        <f t="shared" si="99"/>
        <v>80.357142857142875</v>
      </c>
      <c r="M255" s="68"/>
      <c r="N255" s="68">
        <f t="shared" si="102"/>
        <v>257.14285714285717</v>
      </c>
      <c r="O255" s="68"/>
      <c r="P255" s="68">
        <f>((5248)/I$3)*I255</f>
        <v>1686.8571428571427</v>
      </c>
      <c r="Q255" s="68">
        <v>0</v>
      </c>
      <c r="R255" s="68">
        <v>0</v>
      </c>
      <c r="S255" s="68">
        <v>0</v>
      </c>
      <c r="T255" s="68">
        <f t="shared" ref="T255:T257" si="117">SUM(J255:S255)</f>
        <v>3631.5</v>
      </c>
      <c r="U255" s="69">
        <f t="shared" si="100"/>
        <v>192.85714285714286</v>
      </c>
      <c r="V255" s="69">
        <f t="shared" si="113"/>
        <v>64</v>
      </c>
      <c r="W255" s="68">
        <v>0</v>
      </c>
      <c r="X255" s="68">
        <v>0</v>
      </c>
      <c r="Y255" s="68">
        <f t="shared" si="115"/>
        <v>256.85714285714289</v>
      </c>
      <c r="Z255" s="68">
        <f t="shared" si="107"/>
        <v>3374.6428571428569</v>
      </c>
      <c r="AA255" s="68">
        <v>0</v>
      </c>
      <c r="AB255" s="68">
        <f t="shared" si="108"/>
        <v>3374.6428571428569</v>
      </c>
      <c r="AC255" s="69">
        <f t="shared" si="101"/>
        <v>211.33928571428575</v>
      </c>
      <c r="AD255" s="69">
        <f t="shared" si="109"/>
        <v>173</v>
      </c>
      <c r="AE255" s="70">
        <f t="shared" si="110"/>
        <v>0</v>
      </c>
      <c r="AF255" s="71">
        <f t="shared" si="116"/>
        <v>384.33928571428578</v>
      </c>
      <c r="AG255" s="71">
        <f t="shared" si="111"/>
        <v>4015.8392857142858</v>
      </c>
    </row>
    <row r="256" spans="1:33" x14ac:dyDescent="0.2">
      <c r="A256" s="74" t="s">
        <v>1718</v>
      </c>
      <c r="B256" s="75" t="e">
        <f t="shared" si="112"/>
        <v>#REF!</v>
      </c>
      <c r="C256" s="134" t="s">
        <v>1712</v>
      </c>
      <c r="D256" s="97" t="s">
        <v>50</v>
      </c>
      <c r="E256" s="97" t="s">
        <v>484</v>
      </c>
      <c r="F256" s="76">
        <v>42985</v>
      </c>
      <c r="G256" s="133"/>
      <c r="H256" s="133"/>
      <c r="I256" s="75">
        <v>22</v>
      </c>
      <c r="J256" s="68">
        <f t="shared" si="105"/>
        <v>3928.5714285714289</v>
      </c>
      <c r="K256" s="68">
        <f t="shared" si="106"/>
        <v>0</v>
      </c>
      <c r="L256" s="68">
        <f t="shared" si="99"/>
        <v>196.42857142857144</v>
      </c>
      <c r="M256" s="68"/>
      <c r="N256" s="68">
        <f t="shared" si="102"/>
        <v>628.57142857142856</v>
      </c>
      <c r="O256" s="68"/>
      <c r="P256" s="68">
        <f>((5248-1018)/I$3)*I256</f>
        <v>3323.5714285714289</v>
      </c>
      <c r="Q256" s="68">
        <v>0</v>
      </c>
      <c r="R256" s="68">
        <v>0</v>
      </c>
      <c r="S256" s="68">
        <v>0</v>
      </c>
      <c r="T256" s="68">
        <f t="shared" si="117"/>
        <v>8077.1428571428569</v>
      </c>
      <c r="U256" s="69">
        <f t="shared" si="100"/>
        <v>471.42857142857144</v>
      </c>
      <c r="V256" s="69">
        <f t="shared" si="113"/>
        <v>142</v>
      </c>
      <c r="W256" s="68">
        <v>0</v>
      </c>
      <c r="X256" s="68">
        <v>0</v>
      </c>
      <c r="Y256" s="68">
        <f t="shared" si="115"/>
        <v>613.42857142857144</v>
      </c>
      <c r="Z256" s="68">
        <f t="shared" si="107"/>
        <v>7463.7142857142853</v>
      </c>
      <c r="AA256" s="68">
        <v>0</v>
      </c>
      <c r="AB256" s="68">
        <f t="shared" si="108"/>
        <v>7463.7142857142853</v>
      </c>
      <c r="AC256" s="69">
        <f t="shared" si="101"/>
        <v>516.60714285714289</v>
      </c>
      <c r="AD256" s="69">
        <f t="shared" si="109"/>
        <v>384</v>
      </c>
      <c r="AE256" s="70">
        <f t="shared" si="110"/>
        <v>0</v>
      </c>
      <c r="AF256" s="71">
        <f t="shared" si="116"/>
        <v>900.60714285714289</v>
      </c>
      <c r="AG256" s="71">
        <f t="shared" si="111"/>
        <v>8977.75</v>
      </c>
    </row>
    <row r="257" spans="1:33" x14ac:dyDescent="0.2">
      <c r="A257" s="74" t="s">
        <v>1721</v>
      </c>
      <c r="B257" s="75" t="e">
        <f t="shared" si="112"/>
        <v>#REF!</v>
      </c>
      <c r="C257" s="134" t="s">
        <v>1713</v>
      </c>
      <c r="D257" s="97" t="s">
        <v>50</v>
      </c>
      <c r="E257" s="97" t="s">
        <v>1714</v>
      </c>
      <c r="F257" s="76">
        <v>42986</v>
      </c>
      <c r="G257" s="133"/>
      <c r="H257" s="133"/>
      <c r="I257" s="75">
        <v>24</v>
      </c>
      <c r="J257" s="68">
        <f t="shared" si="105"/>
        <v>4285.7142857142862</v>
      </c>
      <c r="K257" s="68">
        <f t="shared" si="106"/>
        <v>0</v>
      </c>
      <c r="L257" s="68">
        <f t="shared" si="99"/>
        <v>214.28571428571433</v>
      </c>
      <c r="M257" s="68"/>
      <c r="N257" s="68">
        <f t="shared" si="102"/>
        <v>685.71428571428578</v>
      </c>
      <c r="O257" s="68"/>
      <c r="P257" s="68">
        <f>((5248)/I$3)*I257</f>
        <v>4498.2857142857138</v>
      </c>
      <c r="Q257" s="68">
        <v>0</v>
      </c>
      <c r="R257" s="68">
        <v>0</v>
      </c>
      <c r="S257" s="68">
        <v>0</v>
      </c>
      <c r="T257" s="68">
        <f t="shared" si="117"/>
        <v>9684</v>
      </c>
      <c r="U257" s="69">
        <f t="shared" si="100"/>
        <v>514.28571428571433</v>
      </c>
      <c r="V257" s="69">
        <f t="shared" si="113"/>
        <v>170</v>
      </c>
      <c r="W257" s="68">
        <v>0</v>
      </c>
      <c r="X257" s="68">
        <v>0</v>
      </c>
      <c r="Y257" s="68">
        <f t="shared" si="115"/>
        <v>684.28571428571433</v>
      </c>
      <c r="Z257" s="68">
        <f t="shared" si="107"/>
        <v>8999.7142857142862</v>
      </c>
      <c r="AA257" s="68">
        <v>0</v>
      </c>
      <c r="AB257" s="68">
        <f t="shared" si="108"/>
        <v>8999.7142857142862</v>
      </c>
      <c r="AC257" s="69">
        <f t="shared" si="101"/>
        <v>563.57142857142867</v>
      </c>
      <c r="AD257" s="69">
        <f t="shared" si="109"/>
        <v>460</v>
      </c>
      <c r="AE257" s="70">
        <f t="shared" si="110"/>
        <v>0</v>
      </c>
      <c r="AF257" s="71">
        <f t="shared" si="116"/>
        <v>1023.5714285714287</v>
      </c>
      <c r="AG257" s="71">
        <f t="shared" si="111"/>
        <v>10707.571428571429</v>
      </c>
    </row>
    <row r="258" spans="1:33" s="62" customFormat="1" x14ac:dyDescent="0.2">
      <c r="A258" s="72"/>
      <c r="B258" s="72"/>
      <c r="C258" s="72"/>
      <c r="D258" s="72"/>
      <c r="E258" s="72"/>
      <c r="F258" s="72"/>
      <c r="G258" s="72"/>
      <c r="H258" s="72"/>
      <c r="I258" s="72">
        <f>SUM(I6:I257)</f>
        <v>6279.5</v>
      </c>
      <c r="J258" s="73">
        <f>SUM(J6:J257)</f>
        <v>1121339.2857142859</v>
      </c>
      <c r="K258" s="73">
        <f>SUM(K6:K257)</f>
        <v>0</v>
      </c>
      <c r="L258" s="73">
        <f>SUM(L6:L257)</f>
        <v>56066.964285714319</v>
      </c>
      <c r="M258" s="73"/>
      <c r="N258" s="73">
        <f>SUM(N6:N257)</f>
        <v>180300.00000000003</v>
      </c>
      <c r="O258" s="73"/>
      <c r="P258" s="73">
        <f t="shared" ref="P258:AG258" si="118">SUM(P6:P257)</f>
        <v>1201257.803571427</v>
      </c>
      <c r="Q258" s="73">
        <f t="shared" si="118"/>
        <v>0</v>
      </c>
      <c r="R258" s="73">
        <f t="shared" si="118"/>
        <v>0</v>
      </c>
      <c r="S258" s="73">
        <f t="shared" si="118"/>
        <v>1000</v>
      </c>
      <c r="T258" s="73">
        <f t="shared" si="118"/>
        <v>2559964.0535714291</v>
      </c>
      <c r="U258" s="73">
        <f t="shared" si="118"/>
        <v>134560.71428571426</v>
      </c>
      <c r="V258" s="104">
        <f t="shared" si="118"/>
        <v>44469</v>
      </c>
      <c r="W258" s="104">
        <f t="shared" si="118"/>
        <v>0</v>
      </c>
      <c r="X258" s="104">
        <f t="shared" si="118"/>
        <v>0</v>
      </c>
      <c r="Y258" s="73">
        <f t="shared" si="118"/>
        <v>179029.71428571429</v>
      </c>
      <c r="Z258" s="73">
        <f t="shared" si="118"/>
        <v>2380934.3392857132</v>
      </c>
      <c r="AA258" s="73">
        <f t="shared" si="118"/>
        <v>0</v>
      </c>
      <c r="AB258" s="73">
        <f t="shared" si="118"/>
        <v>2380934.3392857132</v>
      </c>
      <c r="AC258" s="73">
        <f t="shared" si="118"/>
        <v>147456.11607142855</v>
      </c>
      <c r="AD258" s="73">
        <f t="shared" si="118"/>
        <v>120528</v>
      </c>
      <c r="AE258" s="73">
        <f t="shared" si="118"/>
        <v>0</v>
      </c>
      <c r="AF258" s="73">
        <f t="shared" si="118"/>
        <v>267984.11607142852</v>
      </c>
      <c r="AG258" s="73">
        <f t="shared" si="118"/>
        <v>2827948.1696428568</v>
      </c>
    </row>
    <row r="260" spans="1:33" x14ac:dyDescent="0.2">
      <c r="I260" s="122">
        <v>6279.5</v>
      </c>
      <c r="J260" s="111">
        <v>1121339.1499999999</v>
      </c>
      <c r="L260" s="111">
        <v>56067.1</v>
      </c>
      <c r="N260" s="111">
        <v>180299.87</v>
      </c>
      <c r="P260" s="111">
        <v>1201257.83</v>
      </c>
      <c r="S260" s="112">
        <v>1000</v>
      </c>
      <c r="U260" s="112">
        <v>134551</v>
      </c>
      <c r="V260" s="112">
        <v>44468</v>
      </c>
      <c r="Z260" s="112">
        <v>2380974</v>
      </c>
    </row>
    <row r="261" spans="1:33" x14ac:dyDescent="0.2">
      <c r="I261" s="122"/>
      <c r="J261" s="111"/>
      <c r="L261" s="111"/>
      <c r="N261" s="111"/>
      <c r="P261" s="111"/>
      <c r="S261" s="111"/>
      <c r="U261" s="112"/>
      <c r="V261" s="112"/>
      <c r="AB261" s="112"/>
    </row>
    <row r="262" spans="1:33" x14ac:dyDescent="0.2">
      <c r="I262" s="110">
        <f>I258-I260</f>
        <v>0</v>
      </c>
      <c r="J262" s="110">
        <f t="shared" ref="J262:AC262" si="119">J258-J260</f>
        <v>0.13571428600698709</v>
      </c>
      <c r="K262" s="110">
        <f t="shared" si="119"/>
        <v>0</v>
      </c>
      <c r="L262" s="110">
        <f t="shared" si="119"/>
        <v>-0.135714285679569</v>
      </c>
      <c r="M262" s="110">
        <f t="shared" si="119"/>
        <v>0</v>
      </c>
      <c r="N262" s="110">
        <f t="shared" si="119"/>
        <v>0.13000000003376044</v>
      </c>
      <c r="O262" s="110">
        <f t="shared" si="119"/>
        <v>0</v>
      </c>
      <c r="P262" s="110">
        <f t="shared" si="119"/>
        <v>-2.6428573066368699E-2</v>
      </c>
      <c r="Q262" s="110">
        <f t="shared" si="119"/>
        <v>0</v>
      </c>
      <c r="R262" s="110">
        <f t="shared" si="119"/>
        <v>0</v>
      </c>
      <c r="S262" s="110">
        <f t="shared" si="119"/>
        <v>0</v>
      </c>
      <c r="T262" s="110">
        <f t="shared" si="119"/>
        <v>2559964.0535714291</v>
      </c>
      <c r="U262" s="110">
        <f t="shared" si="119"/>
        <v>9.7142857142607681</v>
      </c>
      <c r="V262" s="110">
        <f t="shared" si="119"/>
        <v>1</v>
      </c>
      <c r="W262" s="110">
        <f t="shared" si="119"/>
        <v>0</v>
      </c>
      <c r="X262" s="110">
        <f t="shared" si="119"/>
        <v>0</v>
      </c>
      <c r="Y262" s="110">
        <f t="shared" si="119"/>
        <v>179029.71428571429</v>
      </c>
      <c r="Z262" s="110">
        <f t="shared" si="119"/>
        <v>-39.660714286845177</v>
      </c>
      <c r="AA262" s="110">
        <f t="shared" si="119"/>
        <v>0</v>
      </c>
      <c r="AB262" s="110">
        <f t="shared" si="119"/>
        <v>2380934.3392857132</v>
      </c>
      <c r="AC262" s="110">
        <f t="shared" si="119"/>
        <v>147456.11607142855</v>
      </c>
    </row>
    <row r="263" spans="1:33" x14ac:dyDescent="0.2">
      <c r="I263" s="110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10"/>
      <c r="AD263" s="110"/>
      <c r="AE263" s="110"/>
      <c r="AF263" s="110"/>
      <c r="AG263" s="110"/>
    </row>
    <row r="1048149" spans="3:3" x14ac:dyDescent="0.2">
      <c r="C1048149" s="106" t="str">
        <f>UPPER(C1048143)</f>
        <v/>
      </c>
    </row>
  </sheetData>
  <autoFilter ref="A5:AI258" xr:uid="{00000000-0009-0000-0000-000007000000}"/>
  <mergeCells count="3">
    <mergeCell ref="U4:X4"/>
    <mergeCell ref="AC4:AE4"/>
    <mergeCell ref="J4:P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Payroll (2)</vt:lpstr>
      <vt:lpstr>All payroll</vt:lpstr>
      <vt:lpstr>Payroll (3)</vt:lpstr>
      <vt:lpstr>BHIWANDI (2)</vt:lpstr>
      <vt:lpstr> delhi old</vt:lpstr>
      <vt:lpstr>DELHI  (2)</vt:lpstr>
      <vt:lpstr>attendance </vt:lpstr>
      <vt:lpstr>DELHI </vt:lpstr>
      <vt:lpstr>' delhi old'!Print_Titles</vt:lpstr>
      <vt:lpstr>'All payroll'!Print_Titles</vt:lpstr>
      <vt:lpstr>'Payroll (2)'!Print_Titles</vt:lpstr>
      <vt:lpstr>'Payroll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A-1</dc:creator>
  <cp:lastModifiedBy>B2B 3</cp:lastModifiedBy>
  <cp:lastPrinted>2018-01-25T04:59:39Z</cp:lastPrinted>
  <dcterms:created xsi:type="dcterms:W3CDTF">2015-01-02T07:07:08Z</dcterms:created>
  <dcterms:modified xsi:type="dcterms:W3CDTF">2018-07-24T06:51:09Z</dcterms:modified>
</cp:coreProperties>
</file>